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4-12 PMT\"/>
    </mc:Choice>
  </mc:AlternateContent>
  <xr:revisionPtr revIDLastSave="0" documentId="13_ncr:1_{CAD5EF5D-DE9A-448F-B4DC-CA0AE4730E7C}" xr6:coauthVersionLast="47" xr6:coauthVersionMax="47" xr10:uidLastSave="{00000000-0000-0000-0000-000000000000}"/>
  <bookViews>
    <workbookView xWindow="-120" yWindow="-120" windowWidth="29040" windowHeight="15840" firstSheet="1" activeTab="1" xr2:uid="{C91AED26-4B1F-4C8F-B2DD-8D8C8B7B5149}"/>
  </bookViews>
  <sheets>
    <sheet name="Annual Rev &amp; Fees" sheetId="72" state="hidden" r:id="rId1"/>
    <sheet name="Net Payment" sheetId="64"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0" hidden="1">'Annual Rev &amp; Fees'!$A$5:$W$53</definedName>
    <definedName name="_xlnm._FilterDatabase" localSheetId="1" hidden="1">'Net Payment'!$A$4:$G$448</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0"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Consolidated!$A$2:$I$144</definedName>
    <definedName name="_xlnm.Print_Area" localSheetId="1">'Net Payment'!$A$12:$G$512</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1">'Net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79" l="1"/>
  <c r="E60" i="60"/>
  <c r="E61" i="60"/>
  <c r="E62" i="60"/>
  <c r="E63" i="60"/>
  <c r="E64" i="60"/>
  <c r="E65" i="60"/>
  <c r="E66" i="60"/>
  <c r="E67" i="60"/>
  <c r="E59" i="60"/>
  <c r="E112" i="60"/>
  <c r="E111" i="60"/>
  <c r="C66" i="48" l="1"/>
  <c r="E60" i="20"/>
  <c r="E59" i="20"/>
  <c r="C23" i="24"/>
  <c r="C25" i="24"/>
  <c r="C24" i="24"/>
  <c r="F467" i="64" l="1"/>
  <c r="F477" i="64"/>
  <c r="G57" i="64"/>
  <c r="I137" i="18" l="1"/>
  <c r="I141" i="18"/>
  <c r="I145" i="18"/>
  <c r="J55" i="79"/>
  <c r="J60" i="79" s="1"/>
  <c r="M52" i="72"/>
  <c r="R19" i="79"/>
  <c r="R5" i="79"/>
  <c r="R120" i="79"/>
  <c r="R71" i="79"/>
  <c r="Q120" i="79"/>
  <c r="D55" i="79"/>
  <c r="J58" i="79" s="1"/>
  <c r="J59" i="79" s="1"/>
  <c r="Q19" i="79" l="1"/>
  <c r="H55" i="79"/>
  <c r="Q5" i="79"/>
  <c r="R6" i="79" l="1"/>
  <c r="R7" i="79"/>
  <c r="R8" i="79"/>
  <c r="R9" i="79"/>
  <c r="R10" i="79"/>
  <c r="R11" i="79"/>
  <c r="R12" i="79"/>
  <c r="R13" i="79"/>
  <c r="R14" i="79"/>
  <c r="R15" i="79"/>
  <c r="R16" i="79"/>
  <c r="R17" i="79"/>
  <c r="R18"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I55" i="79"/>
  <c r="R54" i="79"/>
  <c r="I128" i="81"/>
  <c r="D11" i="68" l="1"/>
  <c r="E62" i="50"/>
  <c r="E61" i="50"/>
  <c r="E60" i="50"/>
  <c r="E65" i="18"/>
  <c r="E64" i="18"/>
  <c r="E63" i="18"/>
  <c r="E62" i="20"/>
  <c r="E59" i="18"/>
  <c r="E62" i="81"/>
  <c r="E61" i="81"/>
  <c r="E60" i="81"/>
  <c r="E62" i="80"/>
  <c r="E61" i="80"/>
  <c r="E60" i="80"/>
  <c r="Q71" i="79"/>
  <c r="Q72" i="79"/>
  <c r="Q73"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Q70" i="79"/>
  <c r="R70" i="79"/>
  <c r="R72" i="79"/>
  <c r="I120" i="79"/>
  <c r="Q7" i="79" l="1"/>
  <c r="G10" i="79" l="1"/>
  <c r="F4" i="80" l="1"/>
  <c r="F4" i="81"/>
  <c r="I139" i="81"/>
  <c r="I143" i="80"/>
  <c r="I143" i="81"/>
  <c r="H120" i="79"/>
  <c r="I139" i="80"/>
  <c r="I112" i="60" l="1"/>
  <c r="I54" i="60"/>
  <c r="H81" i="80"/>
  <c r="H78" i="80"/>
  <c r="H75" i="80"/>
  <c r="H72" i="80"/>
  <c r="H69" i="80"/>
  <c r="H81" i="81"/>
  <c r="H78" i="81"/>
  <c r="H75" i="81"/>
  <c r="H72" i="81"/>
  <c r="H69" i="81"/>
  <c r="F459" i="64"/>
  <c r="R55" i="79"/>
  <c r="J61" i="79" s="1"/>
  <c r="D112" i="60" l="1"/>
  <c r="C112" i="60"/>
  <c r="D111" i="60"/>
  <c r="C111"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Q6" i="79" l="1"/>
  <c r="H123" i="81" l="1"/>
  <c r="T123" i="81" s="1"/>
  <c r="E123" i="81"/>
  <c r="H122" i="81"/>
  <c r="I122" i="81" s="1"/>
  <c r="F122" i="81"/>
  <c r="E122" i="81"/>
  <c r="T121" i="81"/>
  <c r="R121" i="81"/>
  <c r="R122" i="81" s="1"/>
  <c r="H121" i="81"/>
  <c r="T114" i="81"/>
  <c r="U114" i="81" s="1"/>
  <c r="I114" i="81"/>
  <c r="E114" i="81"/>
  <c r="T113" i="81"/>
  <c r="E113" i="81"/>
  <c r="I113" i="81" s="1"/>
  <c r="R106" i="81"/>
  <c r="E106" i="81"/>
  <c r="R105" i="81"/>
  <c r="E105" i="81"/>
  <c r="R104" i="81"/>
  <c r="E104" i="81"/>
  <c r="R98" i="81"/>
  <c r="R96" i="81"/>
  <c r="R94" i="81"/>
  <c r="R92" i="81"/>
  <c r="R90" i="81"/>
  <c r="R88" i="81"/>
  <c r="R85" i="81"/>
  <c r="T81" i="81"/>
  <c r="T78" i="81"/>
  <c r="T75" i="81"/>
  <c r="T72" i="81"/>
  <c r="T69" i="81"/>
  <c r="P66" i="81"/>
  <c r="D66" i="81"/>
  <c r="E64" i="81" s="1"/>
  <c r="I64" i="81" s="1"/>
  <c r="C66" i="81"/>
  <c r="U65" i="81"/>
  <c r="T65" i="81"/>
  <c r="T64" i="81"/>
  <c r="U64" i="81" s="1"/>
  <c r="T63" i="81"/>
  <c r="U63" i="81" s="1"/>
  <c r="U62" i="81"/>
  <c r="T62" i="81"/>
  <c r="I62" i="81"/>
  <c r="T61" i="81"/>
  <c r="U61" i="81" s="1"/>
  <c r="I61" i="81"/>
  <c r="T60" i="81"/>
  <c r="U60" i="81" s="1"/>
  <c r="I60" i="81"/>
  <c r="U59" i="81"/>
  <c r="T59" i="81"/>
  <c r="E59" i="81"/>
  <c r="T58" i="81"/>
  <c r="U58" i="81" s="1"/>
  <c r="E58" i="81"/>
  <c r="I58" i="81" s="1"/>
  <c r="T57" i="81"/>
  <c r="U57" i="81" s="1"/>
  <c r="E57" i="81"/>
  <c r="I57" i="81" s="1"/>
  <c r="I51" i="81"/>
  <c r="D44" i="81"/>
  <c r="E43" i="81" s="1"/>
  <c r="I43" i="81" s="1"/>
  <c r="C44" i="81"/>
  <c r="E38" i="81"/>
  <c r="U37" i="81"/>
  <c r="I35" i="81"/>
  <c r="U35" i="81" s="1"/>
  <c r="D30" i="81"/>
  <c r="E121" i="81" s="1"/>
  <c r="I121" i="81" s="1"/>
  <c r="C30" i="81"/>
  <c r="U12" i="81"/>
  <c r="U10" i="81"/>
  <c r="T9" i="81"/>
  <c r="T8" i="81"/>
  <c r="P106" i="81" s="1"/>
  <c r="P8" i="81"/>
  <c r="N7" i="81"/>
  <c r="P4" i="81"/>
  <c r="N3" i="81"/>
  <c r="N1" i="81"/>
  <c r="I51" i="80"/>
  <c r="H123" i="80"/>
  <c r="T123" i="80" s="1"/>
  <c r="E123" i="80"/>
  <c r="T122" i="80"/>
  <c r="H122" i="80"/>
  <c r="F122" i="80"/>
  <c r="E122" i="80"/>
  <c r="T121" i="80"/>
  <c r="R121" i="80"/>
  <c r="R122" i="80" s="1"/>
  <c r="H121" i="80"/>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E63" i="80" s="1"/>
  <c r="I63" i="80" s="1"/>
  <c r="C66" i="80"/>
  <c r="T65" i="80"/>
  <c r="U65" i="80" s="1"/>
  <c r="T64" i="80"/>
  <c r="U64" i="80" s="1"/>
  <c r="T63" i="80"/>
  <c r="U63" i="80" s="1"/>
  <c r="T62" i="80"/>
  <c r="U62" i="80" s="1"/>
  <c r="I62" i="80"/>
  <c r="T61" i="80"/>
  <c r="U61" i="80" s="1"/>
  <c r="I61" i="80"/>
  <c r="T60" i="80"/>
  <c r="U60" i="80" s="1"/>
  <c r="I60" i="80"/>
  <c r="T59" i="80"/>
  <c r="U59" i="80" s="1"/>
  <c r="E59" i="80"/>
  <c r="I59" i="80" s="1"/>
  <c r="T58" i="80"/>
  <c r="U58" i="80" s="1"/>
  <c r="E58" i="80"/>
  <c r="I58" i="80" s="1"/>
  <c r="T57" i="80"/>
  <c r="U57" i="80" s="1"/>
  <c r="E57" i="80"/>
  <c r="I57" i="80" s="1"/>
  <c r="D44" i="80"/>
  <c r="E42" i="80" s="1"/>
  <c r="I42" i="80" s="1"/>
  <c r="C44" i="80"/>
  <c r="U37" i="80"/>
  <c r="U35" i="80"/>
  <c r="I35" i="80"/>
  <c r="D30" i="80"/>
  <c r="E121" i="80" s="1"/>
  <c r="I121" i="80" s="1"/>
  <c r="C30" i="80"/>
  <c r="U12" i="80"/>
  <c r="U10" i="80"/>
  <c r="T9" i="80"/>
  <c r="T8" i="80"/>
  <c r="P106" i="80" s="1"/>
  <c r="P8" i="80"/>
  <c r="N7" i="80"/>
  <c r="P4" i="80"/>
  <c r="N3" i="80"/>
  <c r="N1" i="80"/>
  <c r="I122" i="80" l="1"/>
  <c r="I53" i="6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I64" i="80" s="1"/>
  <c r="E65" i="80"/>
  <c r="I65" i="80" s="1"/>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I44" i="80" s="1"/>
  <c r="P104" i="80"/>
  <c r="I123" i="80"/>
  <c r="I124" i="80" s="1"/>
  <c r="E17" i="80"/>
  <c r="E21" i="80"/>
  <c r="H21" i="80" s="1"/>
  <c r="I21" i="80" s="1"/>
  <c r="E23" i="80"/>
  <c r="H23" i="80" s="1"/>
  <c r="I23" i="80" s="1"/>
  <c r="E25" i="80"/>
  <c r="H25" i="80" s="1"/>
  <c r="I25" i="80" s="1"/>
  <c r="E27" i="80"/>
  <c r="H27" i="80" s="1"/>
  <c r="I27" i="80" s="1"/>
  <c r="E29" i="80"/>
  <c r="H29" i="80" s="1"/>
  <c r="I29" i="80" s="1"/>
  <c r="E14" i="80"/>
  <c r="H29" i="81" l="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O6" i="72" s="1"/>
  <c r="H14" i="81"/>
  <c r="I44" i="81"/>
  <c r="I46" i="81" s="1"/>
  <c r="E44" i="80"/>
  <c r="I66" i="80"/>
  <c r="J19" i="80"/>
  <c r="E66" i="80"/>
  <c r="H19" i="80"/>
  <c r="I19" i="80" s="1"/>
  <c r="J15" i="80"/>
  <c r="H15" i="80"/>
  <c r="I15" i="80" s="1"/>
  <c r="E30" i="80"/>
  <c r="H14" i="80"/>
  <c r="I16" i="80"/>
  <c r="H17" i="80"/>
  <c r="I17" i="80" s="1"/>
  <c r="J17" i="80"/>
  <c r="G55" i="79" l="1"/>
  <c r="C78" i="80"/>
  <c r="H79" i="80" s="1"/>
  <c r="H85" i="80" s="1"/>
  <c r="I85" i="80" s="1"/>
  <c r="O7" i="72"/>
  <c r="C105" i="81"/>
  <c r="H105" i="81" s="1"/>
  <c r="C104" i="81"/>
  <c r="H30" i="81"/>
  <c r="I14" i="81"/>
  <c r="C75" i="81"/>
  <c r="H76" i="81" s="1"/>
  <c r="H92" i="81" s="1"/>
  <c r="I92" i="81" s="1"/>
  <c r="C81" i="81"/>
  <c r="H82" i="81" s="1"/>
  <c r="H90" i="81" s="1"/>
  <c r="I90" i="81" s="1"/>
  <c r="C78" i="81"/>
  <c r="H79" i="81" s="1"/>
  <c r="H133" i="81"/>
  <c r="C69" i="81"/>
  <c r="H70" i="81" s="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85" i="81" l="1"/>
  <c r="I85" i="81" s="1"/>
  <c r="H98" i="81"/>
  <c r="I98"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E46" i="81"/>
  <c r="C72" i="81"/>
  <c r="H73" i="81" s="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O106" i="81" l="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Q53" i="79"/>
  <c r="I6" i="72" l="1"/>
  <c r="Q6" i="72" s="1"/>
  <c r="I130" i="81"/>
  <c r="T30" i="81"/>
  <c r="P72" i="81" s="1"/>
  <c r="T73" i="81" s="1"/>
  <c r="O104" i="81"/>
  <c r="U14" i="81"/>
  <c r="U30" i="81" s="1"/>
  <c r="P81" i="81"/>
  <c r="T82" i="81" s="1"/>
  <c r="T90" i="81" s="1"/>
  <c r="U90" i="81" s="1"/>
  <c r="P78" i="81"/>
  <c r="T79" i="81" s="1"/>
  <c r="T85" i="81" s="1"/>
  <c r="U85" i="81" s="1"/>
  <c r="P69" i="81"/>
  <c r="T70" i="81" s="1"/>
  <c r="P75" i="81"/>
  <c r="T76" i="81" s="1"/>
  <c r="T92" i="81" s="1"/>
  <c r="U92" i="81" s="1"/>
  <c r="I128" i="80"/>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J6" i="72" l="1"/>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I135" i="81" s="1"/>
  <c r="U130" i="80"/>
  <c r="I133" i="80" s="1"/>
  <c r="H135" i="80" s="1"/>
  <c r="E113" i="43"/>
  <c r="E114" i="34"/>
  <c r="E113" i="78"/>
  <c r="E113" i="77"/>
  <c r="E114" i="71"/>
  <c r="E113" i="71"/>
  <c r="E113" i="70"/>
  <c r="E113" i="69"/>
  <c r="E113" i="67"/>
  <c r="E113" i="66"/>
  <c r="E113" i="58"/>
  <c r="E113" i="57"/>
  <c r="E114" i="56"/>
  <c r="E113" i="56"/>
  <c r="E113" i="76"/>
  <c r="E113" i="75"/>
  <c r="E113" i="52"/>
  <c r="E113" i="51"/>
  <c r="E113" i="50"/>
  <c r="E114" i="48"/>
  <c r="E113" i="48"/>
  <c r="E113" i="47"/>
  <c r="E113" i="45"/>
  <c r="E113" i="42"/>
  <c r="E113" i="40"/>
  <c r="E113" i="39"/>
  <c r="E113" i="38"/>
  <c r="E113" i="36"/>
  <c r="E113" i="23"/>
  <c r="E113" i="35"/>
  <c r="E113" i="34"/>
  <c r="E113" i="33"/>
  <c r="E113" i="32"/>
  <c r="E113" i="31"/>
  <c r="E113" i="28"/>
  <c r="E113" i="27"/>
  <c r="E113" i="26"/>
  <c r="E113" i="25"/>
  <c r="E113" i="21"/>
  <c r="E113" i="20"/>
  <c r="E113" i="18"/>
  <c r="E113" i="17"/>
  <c r="E113" i="16"/>
  <c r="E114" i="16"/>
  <c r="E113" i="7"/>
  <c r="I139" i="7"/>
  <c r="P120" i="79"/>
  <c r="O120" i="79"/>
  <c r="N120" i="79"/>
  <c r="M120" i="79"/>
  <c r="L120" i="79"/>
  <c r="G120" i="79"/>
  <c r="F120" i="79"/>
  <c r="E120" i="79"/>
  <c r="R118" i="79"/>
  <c r="R117" i="79"/>
  <c r="Q117" i="79"/>
  <c r="I139" i="78" s="1"/>
  <c r="R116" i="79"/>
  <c r="R115" i="79"/>
  <c r="R114" i="79"/>
  <c r="R113" i="79"/>
  <c r="I139" i="70"/>
  <c r="R112" i="79"/>
  <c r="I139" i="69"/>
  <c r="R111" i="79"/>
  <c r="I139" i="67"/>
  <c r="R110" i="79"/>
  <c r="I139" i="66"/>
  <c r="R109" i="79"/>
  <c r="I139" i="58"/>
  <c r="R108" i="79"/>
  <c r="I139" i="57"/>
  <c r="R107" i="79"/>
  <c r="I139" i="56"/>
  <c r="R106" i="79"/>
  <c r="I139" i="55"/>
  <c r="R105" i="79"/>
  <c r="I139" i="76"/>
  <c r="R104" i="79"/>
  <c r="I139" i="75"/>
  <c r="R103" i="79"/>
  <c r="I139" i="52"/>
  <c r="R102" i="79"/>
  <c r="I139" i="51"/>
  <c r="R101" i="79"/>
  <c r="I139" i="50"/>
  <c r="R100" i="79"/>
  <c r="I139" i="48"/>
  <c r="R99" i="79"/>
  <c r="I139" i="47"/>
  <c r="R98" i="79"/>
  <c r="I139" i="45"/>
  <c r="R97" i="79"/>
  <c r="I139" i="44"/>
  <c r="R96" i="79"/>
  <c r="I139" i="43"/>
  <c r="R95" i="79"/>
  <c r="I139" i="42"/>
  <c r="R94" i="79"/>
  <c r="I139" i="40"/>
  <c r="R93" i="79"/>
  <c r="I139" i="39"/>
  <c r="R92" i="79"/>
  <c r="I139" i="38"/>
  <c r="R91" i="79"/>
  <c r="I139" i="37"/>
  <c r="R90" i="79"/>
  <c r="I139" i="36"/>
  <c r="R89" i="79"/>
  <c r="I139" i="23"/>
  <c r="R88" i="79"/>
  <c r="I139" i="35"/>
  <c r="R87" i="79"/>
  <c r="I139" i="34"/>
  <c r="R86" i="79"/>
  <c r="I139" i="33"/>
  <c r="R85" i="79"/>
  <c r="I139" i="32"/>
  <c r="R84" i="79"/>
  <c r="I139" i="31"/>
  <c r="R83" i="79"/>
  <c r="I139" i="28"/>
  <c r="R82" i="79"/>
  <c r="I139" i="27"/>
  <c r="R81" i="79"/>
  <c r="I139" i="26"/>
  <c r="R80" i="79"/>
  <c r="I139" i="22"/>
  <c r="R79" i="79"/>
  <c r="I139" i="24"/>
  <c r="R78" i="79"/>
  <c r="I139" i="25"/>
  <c r="R77" i="79"/>
  <c r="I139" i="21"/>
  <c r="R76" i="79"/>
  <c r="I139" i="20"/>
  <c r="R75" i="79"/>
  <c r="I139" i="18"/>
  <c r="J120" i="79"/>
  <c r="R73" i="79"/>
  <c r="K6" i="72" l="1"/>
  <c r="G6" i="72" s="1"/>
  <c r="I137" i="81"/>
  <c r="I147" i="81"/>
  <c r="I135" i="80"/>
  <c r="I139" i="16"/>
  <c r="Q118" i="79"/>
  <c r="I139" i="30" s="1"/>
  <c r="I139" i="71"/>
  <c r="K120" i="79"/>
  <c r="R74" i="79"/>
  <c r="Q116" i="79"/>
  <c r="I139" i="77" s="1"/>
  <c r="L6" i="72" l="1"/>
  <c r="R6" i="72"/>
  <c r="F6" i="72"/>
  <c r="I141" i="81"/>
  <c r="I145" i="81" s="1"/>
  <c r="E5" i="64" s="1"/>
  <c r="S6" i="72"/>
  <c r="W6" i="72" s="1"/>
  <c r="I137" i="80"/>
  <c r="I141" i="80" s="1"/>
  <c r="I145" i="80" s="1"/>
  <c r="K7" i="72"/>
  <c r="I147" i="80"/>
  <c r="I139" i="17"/>
  <c r="I137" i="60" s="1"/>
  <c r="G5" i="64" l="1"/>
  <c r="M6" i="72"/>
  <c r="M7" i="72"/>
  <c r="E8" i="64"/>
  <c r="G8" i="64" s="1"/>
  <c r="F7" i="72"/>
  <c r="R7" i="72"/>
  <c r="G7" i="72"/>
  <c r="L7" i="72"/>
  <c r="M55" i="79"/>
  <c r="S7" i="72" l="1"/>
  <c r="W7" i="72" s="1"/>
  <c r="E55" i="79"/>
  <c r="E122" i="79" l="1"/>
  <c r="L55" i="79"/>
  <c r="O55" i="79"/>
  <c r="P55" i="79"/>
  <c r="K55" i="79" l="1"/>
  <c r="I124"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I59" i="17" s="1"/>
  <c r="E58" i="17"/>
  <c r="I58" i="17" s="1"/>
  <c r="E57" i="17"/>
  <c r="D66" i="18"/>
  <c r="C66" i="18"/>
  <c r="I65" i="18"/>
  <c r="E62" i="18"/>
  <c r="E61" i="18"/>
  <c r="E60" i="18"/>
  <c r="E58" i="18"/>
  <c r="E57" i="18"/>
  <c r="D66" i="20"/>
  <c r="C66" i="20"/>
  <c r="E65" i="20"/>
  <c r="I65" i="20" s="1"/>
  <c r="E64" i="20"/>
  <c r="E63" i="20"/>
  <c r="E61" i="20"/>
  <c r="I61" i="20" s="1"/>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I61" i="50"/>
  <c r="I60" i="50"/>
  <c r="E59" i="50"/>
  <c r="I59" i="50" s="1"/>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7" l="1"/>
  <c r="E63" i="7"/>
  <c r="I59" i="16"/>
  <c r="E65" i="16"/>
  <c r="E64" i="16"/>
  <c r="I57" i="20"/>
  <c r="I64" i="18"/>
  <c r="E58" i="43"/>
  <c r="I58" i="43" s="1"/>
  <c r="E57" i="43"/>
  <c r="E65" i="43"/>
  <c r="I65" i="43" s="1"/>
  <c r="E60" i="43"/>
  <c r="I60" i="43" s="1"/>
  <c r="E64" i="43"/>
  <c r="I64" i="43" s="1"/>
  <c r="E63" i="43"/>
  <c r="I63" i="43" s="1"/>
  <c r="E62" i="43"/>
  <c r="I62" i="43" s="1"/>
  <c r="E61" i="43"/>
  <c r="I61" i="43" s="1"/>
  <c r="E59" i="43"/>
  <c r="I59" i="43" s="1"/>
  <c r="E64" i="7"/>
  <c r="I64" i="7" s="1"/>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E65" i="28"/>
  <c r="I65" i="28" s="1"/>
  <c r="E63" i="28"/>
  <c r="I63" i="28" s="1"/>
  <c r="E65" i="22"/>
  <c r="I65" i="22" s="1"/>
  <c r="E64" i="22"/>
  <c r="I64" i="22" s="1"/>
  <c r="E58" i="22"/>
  <c r="E63" i="22"/>
  <c r="I63" i="22" s="1"/>
  <c r="E62" i="22"/>
  <c r="I62" i="22" s="1"/>
  <c r="E61" i="22"/>
  <c r="I61" i="22" s="1"/>
  <c r="E60" i="22"/>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E57" i="51"/>
  <c r="E64" i="33"/>
  <c r="I64" i="33" s="1"/>
  <c r="E63" i="33"/>
  <c r="I63" i="33" s="1"/>
  <c r="E62" i="33"/>
  <c r="I62" i="33" s="1"/>
  <c r="E61" i="33"/>
  <c r="I61" i="33" s="1"/>
  <c r="E60" i="33"/>
  <c r="I60" i="33" s="1"/>
  <c r="E58" i="33"/>
  <c r="I58" i="33" s="1"/>
  <c r="E59" i="33"/>
  <c r="E57" i="33"/>
  <c r="I57" i="33" s="1"/>
  <c r="E65" i="33"/>
  <c r="I65" i="33" s="1"/>
  <c r="E59" i="21"/>
  <c r="I59" i="21" s="1"/>
  <c r="E58" i="21"/>
  <c r="I58" i="21" s="1"/>
  <c r="E57" i="21"/>
  <c r="I57" i="21" s="1"/>
  <c r="E61" i="21"/>
  <c r="I61" i="21" s="1"/>
  <c r="E60" i="21"/>
  <c r="I60" i="21" s="1"/>
  <c r="E62" i="76"/>
  <c r="I62" i="76" s="1"/>
  <c r="E61" i="76"/>
  <c r="I61" i="76" s="1"/>
  <c r="E60" i="76"/>
  <c r="I60" i="76" s="1"/>
  <c r="E58" i="76"/>
  <c r="I58" i="76" s="1"/>
  <c r="E57" i="76"/>
  <c r="I57" i="76" s="1"/>
  <c r="E64" i="76"/>
  <c r="I64" i="76" s="1"/>
  <c r="E65" i="76"/>
  <c r="E63" i="76"/>
  <c r="I63" i="76" s="1"/>
  <c r="E59" i="76"/>
  <c r="I59" i="76" s="1"/>
  <c r="E62" i="45"/>
  <c r="E61" i="45"/>
  <c r="I61" i="45" s="1"/>
  <c r="E60" i="45"/>
  <c r="I60" i="45" s="1"/>
  <c r="E58" i="45"/>
  <c r="I58" i="45" s="1"/>
  <c r="E57" i="45"/>
  <c r="I57" i="45" s="1"/>
  <c r="E64" i="45"/>
  <c r="I64" i="45" s="1"/>
  <c r="E65" i="45"/>
  <c r="I65" i="45" s="1"/>
  <c r="E63" i="45"/>
  <c r="I63" i="45" s="1"/>
  <c r="E59" i="45"/>
  <c r="I59" i="45" s="1"/>
  <c r="E65" i="42"/>
  <c r="I65" i="42" s="1"/>
  <c r="E64" i="42"/>
  <c r="E63" i="42"/>
  <c r="E62" i="42"/>
  <c r="I62" i="42" s="1"/>
  <c r="E61" i="42"/>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E57" i="37"/>
  <c r="E63" i="37"/>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E58" i="40"/>
  <c r="I58" i="40" s="1"/>
  <c r="E57" i="40"/>
  <c r="I57" i="40" s="1"/>
  <c r="E60" i="35"/>
  <c r="I60" i="35" s="1"/>
  <c r="E59" i="35"/>
  <c r="I59" i="35" s="1"/>
  <c r="E58" i="35"/>
  <c r="I58" i="35" s="1"/>
  <c r="E57" i="35"/>
  <c r="I57" i="35" s="1"/>
  <c r="E62" i="35"/>
  <c r="I62" i="35" s="1"/>
  <c r="E65" i="35"/>
  <c r="I65" i="35" s="1"/>
  <c r="E64" i="35"/>
  <c r="I64" i="35" s="1"/>
  <c r="E63" i="35"/>
  <c r="I63" i="35" s="1"/>
  <c r="E61" i="35"/>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5" i="7"/>
  <c r="I61" i="7"/>
  <c r="I63" i="18"/>
  <c r="I57" i="7"/>
  <c r="I58" i="7"/>
  <c r="U57" i="27"/>
  <c r="U66" i="27" s="1"/>
  <c r="I59" i="7"/>
  <c r="I65" i="70"/>
  <c r="I65" i="50"/>
  <c r="U66" i="37"/>
  <c r="U66" i="24"/>
  <c r="I57" i="51"/>
  <c r="I64" i="42"/>
  <c r="I64" i="27"/>
  <c r="I64" i="28"/>
  <c r="I60" i="18"/>
  <c r="I65" i="16"/>
  <c r="I64" i="70"/>
  <c r="I64" i="21"/>
  <c r="I57" i="50"/>
  <c r="I63" i="42"/>
  <c r="I59" i="18"/>
  <c r="U66" i="35"/>
  <c r="U66" i="20"/>
  <c r="I63" i="66"/>
  <c r="I63" i="17"/>
  <c r="U66" i="32"/>
  <c r="U66" i="16"/>
  <c r="I63" i="50"/>
  <c r="I60" i="22"/>
  <c r="I63" i="21"/>
  <c r="I64" i="20"/>
  <c r="I61" i="26"/>
  <c r="I65" i="21"/>
  <c r="I58" i="18"/>
  <c r="U66" i="71"/>
  <c r="U66" i="51"/>
  <c r="U66" i="36"/>
  <c r="U66" i="25"/>
  <c r="U66" i="23"/>
  <c r="U66" i="21"/>
  <c r="I58" i="5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I57" i="43"/>
  <c r="U66" i="56"/>
  <c r="U66" i="42"/>
  <c r="U66" i="30"/>
  <c r="U66" i="55"/>
  <c r="U66" i="40"/>
  <c r="U66" i="78"/>
  <c r="U66" i="76"/>
  <c r="I57" i="24"/>
  <c r="I65" i="76"/>
  <c r="I61" i="35"/>
  <c r="I59" i="20"/>
  <c r="I59" i="40"/>
  <c r="I64" i="50"/>
  <c r="I58" i="50"/>
  <c r="I62" i="24"/>
  <c r="I61" i="17"/>
  <c r="I62" i="16"/>
  <c r="I58" i="69"/>
  <c r="I62" i="45"/>
  <c r="I61" i="42"/>
  <c r="I58" i="37"/>
  <c r="I64" i="24"/>
  <c r="I62" i="20"/>
  <c r="I61" i="18"/>
  <c r="I65" i="24"/>
  <c r="I63" i="20"/>
  <c r="I62" i="18"/>
  <c r="I62" i="17"/>
  <c r="I58" i="75"/>
  <c r="I61" i="36"/>
  <c r="I62" i="57"/>
  <c r="I63" i="37"/>
  <c r="I61" i="31"/>
  <c r="I59" i="22"/>
  <c r="I59" i="24"/>
  <c r="I62" i="50"/>
  <c r="I60" i="20"/>
  <c r="I60" i="17"/>
  <c r="I60" i="16"/>
  <c r="I57" i="18"/>
  <c r="I57" i="16"/>
  <c r="I57" i="17"/>
  <c r="I57" i="27"/>
  <c r="E66" i="24"/>
  <c r="I57" i="28"/>
  <c r="I61" i="16"/>
  <c r="E66" i="18"/>
  <c r="E66" i="20"/>
  <c r="E66" i="50"/>
  <c r="I60" i="51"/>
  <c r="I67" i="60" l="1"/>
  <c r="I64" i="60"/>
  <c r="I66" i="60"/>
  <c r="I62" i="60"/>
  <c r="E66" i="16"/>
  <c r="E66" i="33"/>
  <c r="I59" i="33"/>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21"/>
  <c r="I66" i="51"/>
  <c r="I66" i="56"/>
  <c r="I66" i="43"/>
  <c r="I66" i="50"/>
  <c r="I66" i="20"/>
  <c r="I66" i="24"/>
  <c r="I66" i="44"/>
  <c r="I66" i="48"/>
  <c r="I66" i="70"/>
  <c r="I66" i="17"/>
  <c r="I66" i="58"/>
  <c r="I66" i="69"/>
  <c r="I66" i="23"/>
  <c r="I66" i="33"/>
  <c r="I66" i="42"/>
  <c r="I66" i="38"/>
  <c r="I66" i="71"/>
  <c r="I66" i="55"/>
  <c r="I66" i="76"/>
  <c r="I66" i="75"/>
  <c r="I66" i="31"/>
  <c r="I66" i="27"/>
  <c r="I66" i="26"/>
  <c r="I66" i="16"/>
  <c r="I66" i="36"/>
  <c r="I66" i="77"/>
  <c r="I66" i="28"/>
  <c r="I66" i="32"/>
  <c r="I66" i="67"/>
  <c r="I63" i="60" l="1"/>
  <c r="I59" i="60"/>
  <c r="I61" i="60"/>
  <c r="I60" i="60"/>
  <c r="I66" i="7"/>
  <c r="I65" i="60"/>
  <c r="E68" i="60"/>
  <c r="I68" i="60" l="1"/>
  <c r="D117" i="60"/>
  <c r="C117" i="60"/>
  <c r="G112" i="60"/>
  <c r="G111" i="60"/>
  <c r="H54" i="60"/>
  <c r="H53" i="60"/>
  <c r="D12" i="60"/>
  <c r="D58" i="60" s="1"/>
  <c r="C12" i="60"/>
  <c r="C58" i="60" s="1"/>
  <c r="D11" i="60"/>
  <c r="C11" i="60"/>
  <c r="D37" i="60" l="1"/>
  <c r="D57" i="60"/>
  <c r="C37" i="60"/>
  <c r="C57" i="60"/>
  <c r="I141" i="60" l="1"/>
  <c r="F104" i="60"/>
  <c r="F103" i="60"/>
  <c r="F102" i="60"/>
  <c r="D104" i="60"/>
  <c r="D103" i="60"/>
  <c r="D102" i="60"/>
  <c r="F97" i="60"/>
  <c r="F95" i="60"/>
  <c r="F93" i="60"/>
  <c r="F91" i="60"/>
  <c r="F89" i="60"/>
  <c r="F86" i="60"/>
  <c r="H83" i="60"/>
  <c r="H80" i="60"/>
  <c r="H77" i="60"/>
  <c r="H74" i="60"/>
  <c r="E121" i="60"/>
  <c r="H120" i="60"/>
  <c r="F120" i="60"/>
  <c r="H119" i="60"/>
  <c r="H121" i="60" s="1"/>
  <c r="H9" i="60"/>
  <c r="I121"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17" l="1"/>
  <c r="E114" i="18"/>
  <c r="E114" i="20"/>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3" i="44"/>
  <c r="E113" i="68"/>
  <c r="E113" i="30"/>
  <c r="H69" i="32" l="1"/>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2" i="60" s="1"/>
  <c r="R104" i="7"/>
  <c r="E105" i="7"/>
  <c r="E103" i="60" s="1"/>
  <c r="R105" i="7"/>
  <c r="E106" i="7"/>
  <c r="E104"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19" i="60" s="1"/>
  <c r="I119" i="60" s="1"/>
  <c r="C39" i="60"/>
  <c r="D39" i="60"/>
  <c r="C40" i="60"/>
  <c r="D40" i="60"/>
  <c r="C41" i="60"/>
  <c r="D41" i="60"/>
  <c r="C42" i="60"/>
  <c r="D42" i="60"/>
  <c r="C43" i="60"/>
  <c r="D43" i="60"/>
  <c r="C44" i="60"/>
  <c r="D44" i="60"/>
  <c r="B2" i="64"/>
  <c r="A34" i="64"/>
  <c r="A50" i="64" s="1"/>
  <c r="A57" i="64" s="1"/>
  <c r="A69" i="64" s="1"/>
  <c r="A77" i="64" s="1"/>
  <c r="A87" i="64" s="1"/>
  <c r="A98" i="64" s="1"/>
  <c r="A107" i="64" s="1"/>
  <c r="A115" i="64" s="1"/>
  <c r="A122" i="64" s="1"/>
  <c r="A131" i="64" s="1"/>
  <c r="A140" i="64" s="1"/>
  <c r="A149" i="64" s="1"/>
  <c r="A159" i="64" s="1"/>
  <c r="A168" i="64" s="1"/>
  <c r="A176" i="64" s="1"/>
  <c r="A183" i="64" s="1"/>
  <c r="A191" i="64" s="1"/>
  <c r="A202" i="64" s="1"/>
  <c r="A210" i="64" s="1"/>
  <c r="A221" i="64" s="1"/>
  <c r="A231" i="64" s="1"/>
  <c r="A240" i="64" s="1"/>
  <c r="A250" i="64" s="1"/>
  <c r="A260" i="64" s="1"/>
  <c r="A268" i="64" s="1"/>
  <c r="A276" i="64" s="1"/>
  <c r="A285" i="64" s="1"/>
  <c r="A295" i="64" s="1"/>
  <c r="A303" i="64" s="1"/>
  <c r="A312" i="64" s="1"/>
  <c r="A321" i="64" s="1"/>
  <c r="A331" i="64" s="1"/>
  <c r="A341" i="64" s="1"/>
  <c r="A352" i="64" s="1"/>
  <c r="A359" i="64" s="1"/>
  <c r="A368" i="64" s="1"/>
  <c r="A377" i="64" s="1"/>
  <c r="A384" i="64" s="1"/>
  <c r="A393" i="64" s="1"/>
  <c r="A403" i="64" s="1"/>
  <c r="A413" i="64" s="1"/>
  <c r="A422" i="64" s="1"/>
  <c r="A430" i="64" s="1"/>
  <c r="A440" i="64" s="1"/>
  <c r="A449" i="64" s="1"/>
  <c r="L39"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J19" i="22"/>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E14" i="24"/>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28" i="31" l="1"/>
  <c r="I111" i="60"/>
  <c r="E18" i="60"/>
  <c r="E15" i="60"/>
  <c r="E16" i="60"/>
  <c r="J17" i="7"/>
  <c r="E17" i="60"/>
  <c r="H28" i="7"/>
  <c r="H28" i="60" s="1"/>
  <c r="E28" i="60"/>
  <c r="H24" i="7"/>
  <c r="E24" i="60"/>
  <c r="H21" i="7"/>
  <c r="I21" i="7" s="1"/>
  <c r="E21" i="60"/>
  <c r="H27" i="7"/>
  <c r="E27" i="60"/>
  <c r="H26" i="7"/>
  <c r="H26" i="60" s="1"/>
  <c r="E26" i="60"/>
  <c r="H14" i="7"/>
  <c r="E14" i="60"/>
  <c r="H25" i="7"/>
  <c r="E25" i="60"/>
  <c r="H29" i="7"/>
  <c r="I29" i="7" s="1"/>
  <c r="E29" i="60"/>
  <c r="J19" i="7"/>
  <c r="E19" i="60"/>
  <c r="H20" i="7"/>
  <c r="I20" i="7" s="1"/>
  <c r="I20" i="60" s="1"/>
  <c r="E20" i="60"/>
  <c r="H22" i="7"/>
  <c r="I22" i="7" s="1"/>
  <c r="I22" i="60" s="1"/>
  <c r="E22" i="60"/>
  <c r="H23" i="7"/>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4" i="7"/>
  <c r="I27" i="7"/>
  <c r="I27" i="60" s="1"/>
  <c r="I28" i="7"/>
  <c r="I28" i="60" s="1"/>
  <c r="I25" i="7"/>
  <c r="I18" i="7"/>
  <c r="I18" i="60" s="1"/>
  <c r="H18" i="60"/>
  <c r="I23" i="7"/>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0" i="60" s="1"/>
  <c r="I120" i="60" s="1"/>
  <c r="I122"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H20" i="6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C105" i="56"/>
  <c r="H105" i="56"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C105" i="47"/>
  <c r="H105" i="47" s="1"/>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H25" i="60" s="1"/>
  <c r="E44" i="60"/>
  <c r="H29" i="60" l="1"/>
  <c r="C105" i="55"/>
  <c r="H105" i="55" s="1"/>
  <c r="I21" i="60"/>
  <c r="I15" i="60"/>
  <c r="I19" i="60"/>
  <c r="I26" i="7"/>
  <c r="I26" i="60" s="1"/>
  <c r="C106" i="76"/>
  <c r="H106" i="76" s="1"/>
  <c r="C106" i="7"/>
  <c r="C105" i="7"/>
  <c r="C104" i="40"/>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C107" i="56" s="1"/>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H104" i="40"/>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I14" i="60" l="1"/>
  <c r="O56" i="72"/>
  <c r="H70" i="16"/>
  <c r="H88" i="16" s="1"/>
  <c r="C102" i="60"/>
  <c r="H88" i="34"/>
  <c r="I88" i="34" s="1"/>
  <c r="H98" i="34"/>
  <c r="I98" i="34" s="1"/>
  <c r="C103" i="60"/>
  <c r="H104" i="60"/>
  <c r="C104" i="60"/>
  <c r="E46" i="43"/>
  <c r="C107" i="33"/>
  <c r="I107" i="33"/>
  <c r="C72" i="33"/>
  <c r="H73" i="33" s="1"/>
  <c r="I107" i="34"/>
  <c r="U126" i="7"/>
  <c r="E8" i="72"/>
  <c r="C80" i="60"/>
  <c r="H81" i="60" s="1"/>
  <c r="H86" i="60" s="1"/>
  <c r="C83" i="60"/>
  <c r="H84" i="60" s="1"/>
  <c r="H91" i="60" s="1"/>
  <c r="C77" i="60"/>
  <c r="H78" i="60" s="1"/>
  <c r="H93" i="60" s="1"/>
  <c r="C71" i="60"/>
  <c r="H72" i="60" s="1"/>
  <c r="H89" i="60" s="1"/>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I88"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H98" i="16" l="1"/>
  <c r="I98" i="16" s="1"/>
  <c r="H96" i="56"/>
  <c r="I96" i="56" s="1"/>
  <c r="I128" i="56" s="1"/>
  <c r="H102" i="60"/>
  <c r="I107" i="7"/>
  <c r="H103" i="60"/>
  <c r="H88" i="7"/>
  <c r="I88" i="7" s="1"/>
  <c r="H98" i="7"/>
  <c r="I98" i="7" s="1"/>
  <c r="I86" i="60"/>
  <c r="C74" i="60"/>
  <c r="H75"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3" i="38" s="1"/>
  <c r="I52" i="55"/>
  <c r="U124" i="34"/>
  <c r="I51" i="28"/>
  <c r="U124" i="52"/>
  <c r="U44" i="34"/>
  <c r="O105" i="52"/>
  <c r="T105" i="52" s="1"/>
  <c r="I52" i="37"/>
  <c r="I51" i="77"/>
  <c r="I52" i="69"/>
  <c r="I52" i="34"/>
  <c r="I51" i="58"/>
  <c r="I51" i="47"/>
  <c r="O105" i="34"/>
  <c r="T105" i="34" s="1"/>
  <c r="C105" i="60"/>
  <c r="I51" i="78"/>
  <c r="I52" i="24"/>
  <c r="I52" i="51"/>
  <c r="I52" i="57"/>
  <c r="I91" i="60"/>
  <c r="I93" i="60"/>
  <c r="I89" i="60"/>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I46" i="18"/>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6" l="1"/>
  <c r="I53" i="71"/>
  <c r="I53" i="22"/>
  <c r="T88" i="52"/>
  <c r="U88" i="52" s="1"/>
  <c r="T98" i="52"/>
  <c r="U98" i="52" s="1"/>
  <c r="I105" i="60"/>
  <c r="I53" i="76"/>
  <c r="I53" i="77"/>
  <c r="I53" i="52"/>
  <c r="I53" i="45"/>
  <c r="I53" i="78"/>
  <c r="I53" i="48"/>
  <c r="I53" i="44"/>
  <c r="I53" i="68"/>
  <c r="I53" i="50"/>
  <c r="I53" i="24"/>
  <c r="I53" i="58"/>
  <c r="I53" i="27"/>
  <c r="I53" i="47"/>
  <c r="I53" i="69"/>
  <c r="I53" i="42"/>
  <c r="I53" i="25"/>
  <c r="I53" i="51"/>
  <c r="I53" i="37"/>
  <c r="I53" i="39"/>
  <c r="I53" i="35"/>
  <c r="I128" i="43"/>
  <c r="I130" i="43" s="1"/>
  <c r="H135" i="43" s="1"/>
  <c r="I135" i="43" s="1"/>
  <c r="I128" i="33"/>
  <c r="I130" i="33" s="1"/>
  <c r="H135" i="33" s="1"/>
  <c r="I135" i="33" s="1"/>
  <c r="I53" i="21"/>
  <c r="I53" i="57"/>
  <c r="I53" i="56"/>
  <c r="I130" i="56" s="1"/>
  <c r="H135" i="56" s="1"/>
  <c r="I135" i="56" s="1"/>
  <c r="I52" i="67"/>
  <c r="I52" i="70"/>
  <c r="I52" i="23"/>
  <c r="I51" i="66"/>
  <c r="I51" i="20"/>
  <c r="I53" i="28"/>
  <c r="I52" i="26"/>
  <c r="I51" i="17"/>
  <c r="I52" i="32"/>
  <c r="I128"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H97" i="60"/>
  <c r="I52" i="66"/>
  <c r="I51" i="26"/>
  <c r="I51" i="32"/>
  <c r="I51" i="16"/>
  <c r="I51" i="23"/>
  <c r="U46" i="52"/>
  <c r="R51" i="52"/>
  <c r="U51" i="52" s="1"/>
  <c r="R52" i="52"/>
  <c r="U52" i="52" s="1"/>
  <c r="U46" i="34"/>
  <c r="R51" i="34"/>
  <c r="U51" i="34" s="1"/>
  <c r="R52" i="34"/>
  <c r="U52" i="34" s="1"/>
  <c r="I52" i="18"/>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28" i="7" l="1"/>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28" i="23"/>
  <c r="I128" i="67"/>
  <c r="I128" i="58"/>
  <c r="I130" i="58" s="1"/>
  <c r="H135" i="58" s="1"/>
  <c r="J43" i="72"/>
  <c r="I128" i="50"/>
  <c r="I130" i="50" s="1"/>
  <c r="H135" i="50" s="1"/>
  <c r="I128" i="48"/>
  <c r="I130" i="48" s="1"/>
  <c r="H135" i="48" s="1"/>
  <c r="I128" i="70"/>
  <c r="I128" i="26"/>
  <c r="I128" i="69"/>
  <c r="I48" i="72" s="1"/>
  <c r="I128" i="47"/>
  <c r="I130" i="47" s="1"/>
  <c r="H135" i="47" s="1"/>
  <c r="I135" i="47" s="1"/>
  <c r="I128" i="66"/>
  <c r="I128" i="30"/>
  <c r="I128" i="77"/>
  <c r="I130" i="77" s="1"/>
  <c r="H135" i="77" s="1"/>
  <c r="I128" i="34"/>
  <c r="I23" i="72" s="1"/>
  <c r="I128" i="27"/>
  <c r="I130" i="27" s="1"/>
  <c r="H135" i="27" s="1"/>
  <c r="I128" i="44"/>
  <c r="I130" i="44" s="1"/>
  <c r="H135" i="44" s="1"/>
  <c r="I128" i="28"/>
  <c r="I19" i="72" s="1"/>
  <c r="I53" i="70"/>
  <c r="I53" i="67"/>
  <c r="I128" i="20"/>
  <c r="I128" i="55"/>
  <c r="I130" i="55" s="1"/>
  <c r="H135" i="55" s="1"/>
  <c r="I135" i="55" s="1"/>
  <c r="I128" i="25"/>
  <c r="I128" i="21"/>
  <c r="I128" i="78"/>
  <c r="I53" i="72" s="1"/>
  <c r="I53" i="16"/>
  <c r="O107" i="52"/>
  <c r="T104" i="52"/>
  <c r="U107" i="52" s="1"/>
  <c r="I53" i="26"/>
  <c r="I53" i="32"/>
  <c r="I130" i="32" s="1"/>
  <c r="H135" i="32" s="1"/>
  <c r="I135" i="32" s="1"/>
  <c r="I53" i="17"/>
  <c r="I128" i="42"/>
  <c r="I130" i="42" s="1"/>
  <c r="H135" i="42" s="1"/>
  <c r="I128" i="40"/>
  <c r="I53" i="23"/>
  <c r="I53" i="20"/>
  <c r="I53" i="30"/>
  <c r="I128" i="37"/>
  <c r="I130" i="37" s="1"/>
  <c r="H135" i="37" s="1"/>
  <c r="I128" i="52"/>
  <c r="I130" i="31"/>
  <c r="I128" i="71"/>
  <c r="I128" i="45"/>
  <c r="I130" i="45" s="1"/>
  <c r="H135" i="45" s="1"/>
  <c r="I135" i="45" s="1"/>
  <c r="I128" i="51"/>
  <c r="I38" i="72" s="1"/>
  <c r="I128" i="17"/>
  <c r="I128" i="18"/>
  <c r="I11" i="72" s="1"/>
  <c r="I128" i="38"/>
  <c r="I53" i="18"/>
  <c r="I128" i="22"/>
  <c r="I130" i="22" s="1"/>
  <c r="I128" i="35"/>
  <c r="I130" i="35" s="1"/>
  <c r="H135" i="35" s="1"/>
  <c r="I128" i="76"/>
  <c r="I130" i="76" s="1"/>
  <c r="H135" i="76" s="1"/>
  <c r="I128" i="24"/>
  <c r="I130" i="24" s="1"/>
  <c r="I128" i="68"/>
  <c r="I128" i="39"/>
  <c r="I130" i="39" s="1"/>
  <c r="H135" i="39" s="1"/>
  <c r="I128" i="36"/>
  <c r="I130" i="36" s="1"/>
  <c r="I128" i="75"/>
  <c r="I130" i="75" s="1"/>
  <c r="H135" i="75" s="1"/>
  <c r="I128" i="57"/>
  <c r="I130" i="57" s="1"/>
  <c r="H135" i="57" s="1"/>
  <c r="I135" i="57" s="1"/>
  <c r="I53" i="66"/>
  <c r="R46" i="28"/>
  <c r="T73" i="28" s="1"/>
  <c r="T94" i="28" s="1"/>
  <c r="U94" i="28" s="1"/>
  <c r="R46" i="52"/>
  <c r="I32" i="72"/>
  <c r="I22" i="72"/>
  <c r="I53" i="7"/>
  <c r="I95" i="60"/>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8" i="72" l="1"/>
  <c r="I130" i="71"/>
  <c r="J22" i="72"/>
  <c r="G22" i="72" s="1"/>
  <c r="J38" i="72"/>
  <c r="Q21" i="79"/>
  <c r="M32" i="72"/>
  <c r="Q31" i="79"/>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Q11" i="72"/>
  <c r="U53" i="66"/>
  <c r="Q48" i="72"/>
  <c r="J48" i="72"/>
  <c r="Q53" i="72"/>
  <c r="J53" i="72"/>
  <c r="U53" i="43"/>
  <c r="Q23" i="72"/>
  <c r="J23" i="72"/>
  <c r="I37" i="72"/>
  <c r="I44" i="72"/>
  <c r="I26" i="72"/>
  <c r="I130" i="69"/>
  <c r="H135" i="69" s="1"/>
  <c r="Q38" i="72"/>
  <c r="Q19" i="72"/>
  <c r="U53" i="58"/>
  <c r="I130" i="7"/>
  <c r="I39" i="72"/>
  <c r="I97" i="60"/>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0" i="64"/>
  <c r="G250" i="64" s="1"/>
  <c r="F32" i="72"/>
  <c r="U19" i="72"/>
  <c r="E159" i="64"/>
  <c r="G159"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Q8" i="72" l="1"/>
  <c r="J27" i="72"/>
  <c r="Q46" i="72"/>
  <c r="J10" i="72"/>
  <c r="J52" i="72"/>
  <c r="J31" i="72"/>
  <c r="J49" i="72"/>
  <c r="J17" i="72"/>
  <c r="J25" i="72"/>
  <c r="J12" i="72"/>
  <c r="J50" i="72"/>
  <c r="J15" i="72"/>
  <c r="J41" i="72"/>
  <c r="J39" i="72"/>
  <c r="J13" i="72"/>
  <c r="J35" i="72"/>
  <c r="G35" i="72" s="1"/>
  <c r="J28" i="72"/>
  <c r="J45" i="72"/>
  <c r="G45" i="72" s="1"/>
  <c r="J33" i="72"/>
  <c r="G33" i="72" s="1"/>
  <c r="J26" i="72"/>
  <c r="J40" i="72"/>
  <c r="J42" i="72"/>
  <c r="G42" i="72" s="1"/>
  <c r="J16" i="72"/>
  <c r="J14" i="72"/>
  <c r="J30" i="72"/>
  <c r="J18" i="72"/>
  <c r="J24" i="72"/>
  <c r="J47" i="72"/>
  <c r="J29" i="72"/>
  <c r="J36" i="72"/>
  <c r="Q51" i="79"/>
  <c r="Q43" i="79"/>
  <c r="Q42" i="79"/>
  <c r="Q41" i="79"/>
  <c r="Q34" i="79"/>
  <c r="Q20" i="79"/>
  <c r="J8" i="72"/>
  <c r="I135" i="67"/>
  <c r="I147" i="67" s="1"/>
  <c r="I147" i="66"/>
  <c r="M36" i="72"/>
  <c r="Q35" i="79"/>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G41" i="72" s="1"/>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0" i="64"/>
  <c r="G430" i="64" s="1"/>
  <c r="I135" i="69"/>
  <c r="K48" i="72" s="1"/>
  <c r="I135" i="30"/>
  <c r="I137" i="30" s="1"/>
  <c r="I141" i="30" s="1"/>
  <c r="I145" i="30" s="1"/>
  <c r="I135" i="38"/>
  <c r="K28" i="72" s="1"/>
  <c r="I135" i="70"/>
  <c r="I147" i="70" s="1"/>
  <c r="I147" i="58"/>
  <c r="I135" i="68"/>
  <c r="Q24" i="72"/>
  <c r="I137" i="66"/>
  <c r="I141" i="66" s="1"/>
  <c r="I145" i="66" s="1"/>
  <c r="K36" i="72"/>
  <c r="G36" i="72" s="1"/>
  <c r="I135" i="78"/>
  <c r="I147" i="78" s="1"/>
  <c r="I135" i="51"/>
  <c r="L46" i="72"/>
  <c r="S46" i="72" s="1"/>
  <c r="W46" i="72" s="1"/>
  <c r="F46" i="72"/>
  <c r="J46" i="72"/>
  <c r="G46" i="72" s="1"/>
  <c r="U128" i="34"/>
  <c r="U130" i="34" s="1"/>
  <c r="I133" i="34" s="1"/>
  <c r="U128" i="52"/>
  <c r="U130" i="52" s="1"/>
  <c r="I133" i="52" s="1"/>
  <c r="Q27" i="72"/>
  <c r="Q15" i="72"/>
  <c r="Q50" i="72"/>
  <c r="Q52" i="72"/>
  <c r="E285" i="64"/>
  <c r="G285"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I147" i="21"/>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59" i="64"/>
  <c r="G359" i="64" s="1"/>
  <c r="U13" i="72"/>
  <c r="R35" i="72"/>
  <c r="F35" i="72"/>
  <c r="L35" i="72"/>
  <c r="S35" i="72" s="1"/>
  <c r="W35" i="72" s="1"/>
  <c r="F21" i="72"/>
  <c r="R21" i="72"/>
  <c r="L21" i="72"/>
  <c r="S21" i="72" s="1"/>
  <c r="W21" i="72" s="1"/>
  <c r="E341" i="64"/>
  <c r="G341" i="64" s="1"/>
  <c r="M42" i="72"/>
  <c r="F42" i="72"/>
  <c r="R42" i="72"/>
  <c r="L42" i="72"/>
  <c r="S42" i="72" s="1"/>
  <c r="U42" i="72" s="1"/>
  <c r="W42" i="72" s="1"/>
  <c r="F43" i="72"/>
  <c r="R43" i="72"/>
  <c r="L43" i="72"/>
  <c r="S43" i="72" s="1"/>
  <c r="W43" i="72" s="1"/>
  <c r="E276" i="64"/>
  <c r="G276" i="64" s="1"/>
  <c r="M35" i="72"/>
  <c r="E149" i="64"/>
  <c r="G149" i="64" s="1"/>
  <c r="M21" i="72"/>
  <c r="M43" i="72"/>
  <c r="E352" i="64"/>
  <c r="G352" i="64" s="1"/>
  <c r="Q56" i="72" l="1"/>
  <c r="I147" i="68"/>
  <c r="I137" i="68"/>
  <c r="I141" i="68" s="1"/>
  <c r="G52" i="72"/>
  <c r="G29" i="72"/>
  <c r="G31" i="72"/>
  <c r="G24" i="72"/>
  <c r="K47" i="72"/>
  <c r="G47" i="72" s="1"/>
  <c r="I137" i="67"/>
  <c r="I141" i="67" s="1"/>
  <c r="I145" i="67" s="1"/>
  <c r="Q45" i="79"/>
  <c r="Q29" i="79"/>
  <c r="U128" i="18"/>
  <c r="E260" i="64"/>
  <c r="G260" i="64" s="1"/>
  <c r="Q32" i="79"/>
  <c r="E122" i="64"/>
  <c r="G122" i="64" s="1"/>
  <c r="Q17" i="79"/>
  <c r="I137" i="28"/>
  <c r="I141" i="28" s="1"/>
  <c r="I145" i="28" s="1"/>
  <c r="E131" i="64" s="1"/>
  <c r="K19" i="72"/>
  <c r="E368" i="64"/>
  <c r="G368" i="64" s="1"/>
  <c r="Q44" i="79"/>
  <c r="E176" i="64"/>
  <c r="G176" i="64" s="1"/>
  <c r="Q23" i="79"/>
  <c r="E268" i="64"/>
  <c r="G268" i="64" s="1"/>
  <c r="Q33" i="79"/>
  <c r="E295" i="64"/>
  <c r="G295" i="64" s="1"/>
  <c r="Q36" i="79"/>
  <c r="E240" i="64"/>
  <c r="G240" i="64" s="1"/>
  <c r="Q30" i="79"/>
  <c r="E202" i="64"/>
  <c r="G202" i="64" s="1"/>
  <c r="Q26" i="79"/>
  <c r="E321" i="64"/>
  <c r="G321" i="64" s="1"/>
  <c r="Q39" i="79"/>
  <c r="E331" i="64"/>
  <c r="G331" i="64" s="1"/>
  <c r="Q40" i="79"/>
  <c r="E221" i="64"/>
  <c r="G221" i="64" s="1"/>
  <c r="Q28" i="79"/>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K51" i="72"/>
  <c r="L36" i="72"/>
  <c r="S36" i="72" s="1"/>
  <c r="W36" i="72" s="1"/>
  <c r="R48" i="72"/>
  <c r="L48" i="72"/>
  <c r="S48" i="72" s="1"/>
  <c r="W48" i="72" s="1"/>
  <c r="G27" i="72"/>
  <c r="R28" i="72"/>
  <c r="L28" i="72"/>
  <c r="S28" i="72" s="1"/>
  <c r="W28" i="72" s="1"/>
  <c r="G28" i="72"/>
  <c r="F28" i="72"/>
  <c r="E449" i="64"/>
  <c r="G449" i="64" s="1"/>
  <c r="M54" i="72"/>
  <c r="K38" i="72"/>
  <c r="I137" i="51"/>
  <c r="I141" i="51" s="1"/>
  <c r="I145" i="51" s="1"/>
  <c r="I147" i="51"/>
  <c r="K49" i="72"/>
  <c r="K53" i="72"/>
  <c r="F48" i="72"/>
  <c r="I137" i="78"/>
  <c r="I141" i="78" s="1"/>
  <c r="I145" i="78" s="1"/>
  <c r="E377" i="64"/>
  <c r="G377"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1" i="64"/>
  <c r="G231" i="64" s="1"/>
  <c r="M30" i="72"/>
  <c r="G30" i="72"/>
  <c r="R30" i="72"/>
  <c r="L30" i="72"/>
  <c r="S30" i="72" s="1"/>
  <c r="W30" i="72" s="1"/>
  <c r="F30" i="72"/>
  <c r="K13" i="72"/>
  <c r="I137" i="21"/>
  <c r="I141" i="21" s="1"/>
  <c r="I145" i="21" s="1"/>
  <c r="K14" i="72"/>
  <c r="I137" i="25"/>
  <c r="I141" i="25" s="1"/>
  <c r="I145" i="25" s="1"/>
  <c r="E87" i="64" s="1"/>
  <c r="G51" i="72" l="1"/>
  <c r="F47" i="72"/>
  <c r="L47" i="72"/>
  <c r="S47" i="72" s="1"/>
  <c r="W47" i="72" s="1"/>
  <c r="R47" i="72"/>
  <c r="M39" i="72"/>
  <c r="E312" i="64"/>
  <c r="G312" i="64" s="1"/>
  <c r="Q37" i="79"/>
  <c r="Q22" i="79"/>
  <c r="M19" i="72"/>
  <c r="Q13" i="79"/>
  <c r="Q12" i="79"/>
  <c r="Q46" i="79"/>
  <c r="E384" i="64"/>
  <c r="G384" i="64" s="1"/>
  <c r="M47" i="72"/>
  <c r="G422" i="64"/>
  <c r="Q50" i="79"/>
  <c r="E210" i="64"/>
  <c r="G210" i="64" s="1"/>
  <c r="Q27" i="79"/>
  <c r="E393" i="64"/>
  <c r="G393" i="64" s="1"/>
  <c r="Q47" i="79"/>
  <c r="R19" i="72"/>
  <c r="F19" i="72"/>
  <c r="G19" i="72"/>
  <c r="L19" i="72"/>
  <c r="S19" i="72" s="1"/>
  <c r="W19" i="72" s="1"/>
  <c r="E440" i="64"/>
  <c r="G440" i="64" s="1"/>
  <c r="Q52" i="79"/>
  <c r="G131" i="64"/>
  <c r="Q18" i="79"/>
  <c r="M49" i="72"/>
  <c r="Q48" i="79"/>
  <c r="F54" i="72"/>
  <c r="L54" i="72"/>
  <c r="S54" i="72" s="1"/>
  <c r="W54" i="72" s="1"/>
  <c r="R54" i="72"/>
  <c r="G54" i="72"/>
  <c r="M48" i="72"/>
  <c r="W51" i="72"/>
  <c r="M51" i="72"/>
  <c r="M28" i="72"/>
  <c r="E403" i="64"/>
  <c r="G403" i="64" s="1"/>
  <c r="F51" i="72"/>
  <c r="M53" i="72"/>
  <c r="I135" i="24"/>
  <c r="K15" i="72" s="1"/>
  <c r="L49" i="72"/>
  <c r="S49" i="72" s="1"/>
  <c r="W49" i="72" s="1"/>
  <c r="R49" i="72"/>
  <c r="F49" i="72"/>
  <c r="G49" i="72"/>
  <c r="E303" i="64"/>
  <c r="G303"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68" i="64"/>
  <c r="G168" i="64" s="1"/>
  <c r="M23" i="72"/>
  <c r="G87" i="64"/>
  <c r="M14" i="72"/>
  <c r="F14" i="72"/>
  <c r="R14" i="72"/>
  <c r="L14" i="72"/>
  <c r="S14" i="72" s="1"/>
  <c r="U14" i="72" s="1"/>
  <c r="W14" i="72" s="1"/>
  <c r="G14" i="72"/>
  <c r="M13" i="72"/>
  <c r="E77" i="64"/>
  <c r="G77" i="64" s="1"/>
  <c r="F13" i="72"/>
  <c r="G13" i="72"/>
  <c r="R13" i="72"/>
  <c r="L13" i="72"/>
  <c r="S13" i="72" s="1"/>
  <c r="W13" i="72" s="1"/>
  <c r="U23" i="72" l="1"/>
  <c r="W23" i="72" s="1"/>
  <c r="I147" i="71"/>
  <c r="I137" i="71"/>
  <c r="I141" i="71" s="1"/>
  <c r="I145" i="71" s="1"/>
  <c r="Q16" i="79"/>
  <c r="G140" i="64"/>
  <c r="Q38" i="79"/>
  <c r="I147" i="31"/>
  <c r="I137" i="24"/>
  <c r="I141" i="24" s="1"/>
  <c r="I145" i="24" s="1"/>
  <c r="I147" i="24"/>
  <c r="I147" i="26"/>
  <c r="K17" i="72"/>
  <c r="L17" i="72" s="1"/>
  <c r="S17" i="72" s="1"/>
  <c r="V17" i="72" s="1"/>
  <c r="W17" i="72" s="1"/>
  <c r="M17" i="72"/>
  <c r="E115" i="64"/>
  <c r="G115" i="64" s="1"/>
  <c r="G15" i="72"/>
  <c r="F15" i="72"/>
  <c r="L15" i="72"/>
  <c r="S15" i="72" s="1"/>
  <c r="V15" i="72" s="1"/>
  <c r="W15" i="72" s="1"/>
  <c r="R15" i="72"/>
  <c r="I135" i="17"/>
  <c r="K20" i="72"/>
  <c r="K50" i="72"/>
  <c r="I135" i="36"/>
  <c r="I147" i="23"/>
  <c r="K16" i="72"/>
  <c r="G16" i="72" s="1"/>
  <c r="I137" i="22"/>
  <c r="I141" i="22" s="1"/>
  <c r="I145" i="22" s="1"/>
  <c r="I147" i="20"/>
  <c r="H135" i="18"/>
  <c r="I135" i="18" s="1"/>
  <c r="I147" i="22"/>
  <c r="M20" i="72"/>
  <c r="K10" i="72" l="1"/>
  <c r="G10" i="72" s="1"/>
  <c r="I137" i="17"/>
  <c r="I141" i="17" s="1"/>
  <c r="I145" i="17" s="1"/>
  <c r="E107" i="64"/>
  <c r="G107" i="64" s="1"/>
  <c r="Q15" i="79"/>
  <c r="E413" i="64"/>
  <c r="G413" i="64" s="1"/>
  <c r="Q49" i="79"/>
  <c r="E98" i="64"/>
  <c r="G98" i="64" s="1"/>
  <c r="Q14" i="79"/>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Q11" i="79" s="1"/>
  <c r="R16" i="72"/>
  <c r="F16" i="72"/>
  <c r="K25" i="72"/>
  <c r="I137" i="23"/>
  <c r="I141" i="23" s="1"/>
  <c r="I145" i="23" s="1"/>
  <c r="V26" i="72"/>
  <c r="H135" i="7"/>
  <c r="V20" i="72" l="1"/>
  <c r="W20" i="72" s="1"/>
  <c r="I135" i="7"/>
  <c r="R10" i="72"/>
  <c r="F10" i="72"/>
  <c r="L10" i="72"/>
  <c r="S10" i="72" s="1"/>
  <c r="V10" i="72" s="1"/>
  <c r="W10" i="72" s="1"/>
  <c r="Q25" i="79"/>
  <c r="Q24" i="79"/>
  <c r="M10" i="72"/>
  <c r="E191" i="64"/>
  <c r="G191" i="64" s="1"/>
  <c r="M26" i="72"/>
  <c r="F26" i="72"/>
  <c r="L26" i="72"/>
  <c r="S26" i="72" s="1"/>
  <c r="W26" i="72" s="1"/>
  <c r="G26" i="72"/>
  <c r="R26" i="72"/>
  <c r="G25" i="72"/>
  <c r="F25" i="72"/>
  <c r="R25" i="72"/>
  <c r="L25" i="72"/>
  <c r="S25" i="72" s="1"/>
  <c r="V25" i="72" s="1"/>
  <c r="W25" i="72" s="1"/>
  <c r="G12" i="72"/>
  <c r="R12" i="72"/>
  <c r="F12" i="72"/>
  <c r="L12" i="72"/>
  <c r="S12" i="72" s="1"/>
  <c r="V12" i="72" s="1"/>
  <c r="W12" i="72" s="1"/>
  <c r="E183" i="64"/>
  <c r="G183" i="64" s="1"/>
  <c r="M25" i="72"/>
  <c r="E69" i="64"/>
  <c r="G69" i="64" s="1"/>
  <c r="M12" i="72"/>
  <c r="K11" i="72"/>
  <c r="E57" i="64"/>
  <c r="I147" i="7" l="1"/>
  <c r="K8" i="72"/>
  <c r="I137" i="7"/>
  <c r="Q10" i="79"/>
  <c r="E50" i="64"/>
  <c r="G50" i="64" s="1"/>
  <c r="Q9" i="79"/>
  <c r="M11" i="72"/>
  <c r="G11" i="72"/>
  <c r="R11" i="72"/>
  <c r="L11" i="72"/>
  <c r="S11" i="72" s="1"/>
  <c r="V11" i="72" s="1"/>
  <c r="W11" i="72" s="1"/>
  <c r="F11" i="72"/>
  <c r="I141" i="7" l="1"/>
  <c r="F8" i="72"/>
  <c r="L8" i="72"/>
  <c r="L56" i="72" s="1"/>
  <c r="J57" i="79" s="1"/>
  <c r="R8" i="72"/>
  <c r="G8" i="72"/>
  <c r="S8" i="72" l="1"/>
  <c r="V56" i="72"/>
  <c r="U8" i="72" l="1"/>
  <c r="W8" i="72" s="1"/>
  <c r="I121" i="16"/>
  <c r="I122" i="16"/>
  <c r="I123" i="16"/>
  <c r="I124" i="16" l="1"/>
  <c r="I128" i="16" l="1"/>
  <c r="I126" i="60" l="1"/>
  <c r="I58" i="72" s="1"/>
  <c r="I9" i="72"/>
  <c r="I56" i="72" s="1"/>
  <c r="I130" i="16"/>
  <c r="H135" i="16"/>
  <c r="I135" i="16" s="1"/>
  <c r="I133" i="60" s="1"/>
  <c r="I128" i="60" l="1"/>
  <c r="H133" i="60" s="1"/>
  <c r="I131" i="60"/>
  <c r="J9" i="72"/>
  <c r="J56" i="72" s="1"/>
  <c r="Q9" i="72"/>
  <c r="I60" i="72" l="1"/>
  <c r="J58" i="72"/>
  <c r="J60" i="72" s="1"/>
  <c r="I147" i="16"/>
  <c r="K58" i="72"/>
  <c r="L58" i="72" s="1"/>
  <c r="L63" i="72" s="1"/>
  <c r="K9" i="72"/>
  <c r="K56" i="72" s="1"/>
  <c r="I137" i="16"/>
  <c r="I135" i="60" s="1"/>
  <c r="I141" i="16" l="1"/>
  <c r="I139" i="60" s="1"/>
  <c r="G56" i="72"/>
  <c r="G9" i="72"/>
  <c r="R9" i="72"/>
  <c r="F9" i="72"/>
  <c r="L9" i="72"/>
  <c r="I145" i="16" l="1"/>
  <c r="S9" i="72"/>
  <c r="U9" i="72" s="1"/>
  <c r="L60" i="72"/>
  <c r="F56" i="72"/>
  <c r="R56" i="72"/>
  <c r="K60" i="72"/>
  <c r="S56" i="72" l="1"/>
  <c r="M9" i="72"/>
  <c r="E34" i="64"/>
  <c r="G34" i="64" s="1"/>
  <c r="W9" i="72"/>
  <c r="W56" i="72" s="1"/>
  <c r="U56" i="72"/>
  <c r="Q8" i="79" l="1"/>
  <c r="Q55" i="79" s="1"/>
  <c r="I145" i="7" l="1"/>
  <c r="I143" i="60" s="1"/>
  <c r="M58" i="72" l="1"/>
  <c r="M8" i="72"/>
  <c r="M56" i="72" s="1"/>
  <c r="E12" i="64"/>
  <c r="E459" i="64" s="1"/>
  <c r="N55" i="79"/>
  <c r="G12" i="64" l="1"/>
  <c r="G459" i="64" s="1"/>
  <c r="E466" i="64"/>
  <c r="G466" i="64" s="1"/>
  <c r="M60" i="72"/>
  <c r="G460" i="64" l="1"/>
  <c r="E489" i="64"/>
  <c r="D403" i="64" l="1"/>
  <c r="D413" i="64"/>
  <c r="D107" i="64"/>
  <c r="D393" i="64"/>
  <c r="D268" i="64"/>
  <c r="D260" i="64"/>
  <c r="D422" i="64"/>
  <c r="D312" i="64"/>
  <c r="D202" i="64"/>
  <c r="D98" i="64"/>
  <c r="D359" i="64"/>
  <c r="D210" i="64"/>
  <c r="D303" i="64"/>
  <c r="D191" i="64"/>
  <c r="D341" i="64"/>
  <c r="D231" i="64"/>
  <c r="D285" i="64"/>
  <c r="D176" i="64"/>
  <c r="D87" i="64"/>
  <c r="D295" i="64"/>
  <c r="D183" i="64"/>
  <c r="D221" i="64"/>
  <c r="D149" i="64"/>
  <c r="D430" i="64"/>
  <c r="D140" i="64"/>
  <c r="D168" i="64"/>
  <c r="D131" i="64"/>
  <c r="D50" i="64"/>
  <c r="D449" i="64"/>
  <c r="D250" i="64"/>
  <c r="D377" i="64"/>
  <c r="D352" i="64"/>
  <c r="D122" i="64"/>
  <c r="D440" i="64"/>
  <c r="D276" i="64"/>
  <c r="D331" i="64"/>
  <c r="D384" i="64"/>
  <c r="D159" i="64"/>
  <c r="D77" i="64"/>
  <c r="D115" i="64"/>
  <c r="D368" i="64"/>
  <c r="D69" i="64"/>
  <c r="D321" i="64"/>
  <c r="D240" i="64"/>
  <c r="D57" i="64"/>
  <c r="F476" i="64"/>
  <c r="G476" i="64" s="1"/>
  <c r="D34" i="64"/>
  <c r="F473" i="64"/>
  <c r="G473" i="64" s="1"/>
  <c r="F471" i="64"/>
  <c r="G471" i="64" s="1"/>
  <c r="F484" i="64"/>
  <c r="G484" i="64" s="1"/>
  <c r="F479" i="64"/>
  <c r="G479" i="64" s="1"/>
  <c r="F478" i="64" l="1"/>
  <c r="G478" i="64" s="1"/>
  <c r="F486" i="64"/>
  <c r="G486" i="64" s="1"/>
  <c r="F469" i="64"/>
  <c r="G469" i="64" s="1"/>
  <c r="F472" i="64"/>
  <c r="G472" i="64" s="1"/>
  <c r="F470" i="64"/>
  <c r="G470" i="64" s="1"/>
  <c r="F480" i="64"/>
  <c r="G480" i="64" s="1"/>
  <c r="F483" i="64"/>
  <c r="G483" i="64" s="1"/>
  <c r="F485" i="64"/>
  <c r="G485" i="64" s="1"/>
  <c r="F481" i="64"/>
  <c r="G481" i="64" s="1"/>
  <c r="G477" i="64"/>
  <c r="F468" i="64"/>
  <c r="G468" i="64" s="1"/>
  <c r="F487" i="64"/>
  <c r="G487" i="64" s="1"/>
  <c r="F474" i="64"/>
  <c r="G474" i="64" s="1"/>
  <c r="F475" i="64"/>
  <c r="G475" i="64" s="1"/>
  <c r="F482" i="64"/>
  <c r="G482" i="64" s="1"/>
  <c r="F489" i="64" l="1"/>
  <c r="G467" i="64"/>
  <c r="G489" i="64" s="1"/>
  <c r="G491" i="64" s="1"/>
</calcChain>
</file>

<file path=xl/sharedStrings.xml><?xml version="1.0" encoding="utf-8"?>
<sst xmlns="http://schemas.openxmlformats.org/spreadsheetml/2006/main" count="18744" uniqueCount="566">
  <si>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</si>
  <si>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</si>
  <si>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</si>
  <si>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</si>
  <si>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</si>
  <si>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</si>
  <si>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</si>
  <si>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</si>
  <si>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</si>
  <si>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</si>
  <si>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</si>
  <si>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</si>
  <si>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</si>
  <si>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</si>
  <si>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</si>
  <si>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</si>
  <si>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</si>
  <si>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</si>
  <si>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</si>
  <si>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</si>
  <si>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</si>
  <si>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</si>
  <si>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</si>
  <si>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</si>
  <si>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</si>
  <si>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</si>
  <si>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</si>
  <si>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</si>
  <si>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</si>
  <si>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</si>
  <si>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</si>
  <si>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</si>
  <si>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</si>
  <si>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</si>
  <si>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</si>
  <si>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</si>
  <si>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</si>
  <si>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</si>
  <si>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</si>
  <si>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</si>
  <si>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</si>
  <si>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</si>
  <si>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</si>
  <si>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</si>
  <si>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</si>
  <si>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</si>
  <si>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</si>
  <si>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</si>
  <si>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</si>
  <si>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</si>
  <si>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</si>
  <si>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</si>
  <si>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</si>
  <si>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</si>
  <si>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</si>
  <si>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</si>
  <si>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</si>
  <si>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</si>
  <si>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</si>
  <si>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</si>
  <si>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</si>
  <si>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</si>
  <si>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</si>
  <si>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</si>
  <si>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</si>
  <si>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</si>
  <si>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</si>
  <si>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</si>
  <si>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</si>
  <si>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</si>
  <si>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</si>
  <si>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</si>
  <si>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</si>
  <si>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</si>
  <si>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</si>
  <si>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</si>
  <si>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</si>
  <si>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</si>
  <si>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</si>
  <si>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</si>
  <si>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</si>
  <si>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</si>
  <si>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</si>
  <si>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</si>
  <si>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</si>
  <si>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</si>
  <si>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</si>
  <si>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</si>
  <si>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</si>
  <si>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</si>
  <si>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</si>
  <si>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</si>
  <si>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</si>
  <si>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</si>
  <si>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</si>
  <si>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</si>
  <si>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</si>
  <si>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</si>
  <si>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</si>
  <si>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</si>
  <si>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</si>
  <si>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</si>
  <si>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</si>
  <si>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</si>
  <si>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</si>
  <si>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</si>
  <si>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</si>
  <si>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</si>
  <si>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</si>
  <si>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</si>
  <si>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</si>
  <si>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</si>
  <si>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</si>
  <si>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</si>
  <si>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</si>
  <si>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</si>
  <si>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</si>
  <si>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</si>
  <si>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</si>
  <si>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</si>
  <si>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</si>
  <si>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</si>
  <si>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</si>
  <si>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</si>
  <si>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</si>
  <si>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</si>
  <si>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</si>
  <si>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</si>
  <si>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</si>
  <si>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</si>
  <si>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</si>
  <si>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</si>
  <si>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</si>
  <si>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</si>
  <si>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</si>
  <si>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</si>
  <si>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</si>
  <si>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</si>
  <si>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</si>
  <si>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</si>
  <si>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</si>
  <si>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</si>
  <si>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</si>
  <si>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</si>
  <si>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</si>
  <si>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</si>
  <si>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</si>
  <si>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</si>
  <si>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</si>
  <si>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</si>
  <si>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</si>
  <si>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</si>
  <si>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</si>
  <si>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</si>
  <si>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</si>
  <si>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</si>
  <si>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</si>
  <si>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</si>
  <si>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</si>
  <si>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</si>
  <si>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</si>
  <si>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</si>
  <si>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</si>
  <si>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</si>
  <si>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</si>
  <si>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</si>
  <si>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</si>
  <si>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</si>
  <si>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</si>
  <si>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</si>
  <si>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</si>
  <si>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</si>
  <si>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</si>
  <si>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</si>
  <si>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</si>
  <si>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</si>
  <si>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</si>
  <si>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</si>
  <si>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</si>
  <si>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</si>
  <si>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</si>
  <si>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</si>
  <si>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</si>
  <si>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</si>
  <si>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</si>
  <si>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</si>
  <si>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</si>
  <si>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</si>
  <si>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</si>
  <si>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</si>
  <si>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</si>
  <si>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</si>
  <si>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</si>
  <si>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</si>
  <si>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</si>
  <si>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</si>
  <si>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</si>
  <si>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</si>
  <si>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</si>
  <si>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</si>
  <si>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</si>
  <si>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</si>
  <si>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</si>
  <si>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</si>
  <si>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</si>
  <si>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</si>
  <si>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</si>
  <si>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</si>
  <si>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</si>
  <si>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</si>
  <si>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</si>
  <si>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</si>
  <si>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</si>
  <si>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</si>
  <si>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</si>
  <si>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</si>
  <si>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</si>
  <si>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</si>
  <si>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</si>
  <si>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</si>
  <si>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</si>
  <si>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</si>
  <si>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</si>
  <si>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</si>
  <si>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</si>
  <si>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</si>
  <si>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</si>
  <si>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</si>
  <si>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</si>
  <si>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</si>
  <si>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</si>
  <si>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</si>
  <si>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</si>
  <si>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</si>
  <si>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</si>
  <si>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</si>
  <si>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</si>
  <si>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</si>
  <si>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</si>
  <si>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</si>
  <si>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</si>
  <si>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</si>
  <si>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</si>
  <si>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</si>
  <si>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</si>
  <si>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</si>
  <si>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</si>
  <si>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</si>
  <si>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</si>
  <si>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</si>
  <si>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</si>
  <si>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</si>
  <si>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</si>
  <si>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</si>
  <si>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</si>
  <si>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</si>
  <si>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</si>
  <si>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</si>
  <si>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</si>
  <si>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</si>
  <si>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</si>
  <si>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</si>
  <si>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</si>
  <si>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</si>
  <si>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</si>
  <si>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</si>
  <si>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</si>
  <si>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</si>
  <si>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</si>
  <si>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</si>
  <si>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</si>
  <si>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</si>
  <si>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</si>
  <si>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</si>
  <si>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</si>
  <si>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</si>
  <si>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</si>
  <si>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</si>
  <si>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</si>
  <si>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</si>
  <si>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</si>
  <si>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</si>
  <si>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</si>
  <si>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</si>
  <si>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</si>
  <si>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</si>
  <si>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</si>
  <si>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</si>
  <si>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</si>
  <si>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</si>
  <si>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</si>
  <si>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</si>
  <si>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</si>
  <si>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</si>
  <si>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</si>
  <si>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</si>
  <si>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</si>
  <si>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</si>
  <si>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</si>
  <si>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</si>
  <si>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</si>
  <si>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</si>
  <si>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</si>
  <si>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</si>
  <si>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</si>
  <si>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</si>
  <si>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</si>
  <si>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</si>
  <si>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</si>
  <si>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</si>
  <si>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</si>
  <si>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</si>
  <si>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</si>
  <si>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</si>
  <si>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</si>
  <si>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</si>
  <si>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</si>
  <si>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</si>
  <si>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</si>
  <si>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</si>
  <si>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</si>
  <si>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</si>
  <si>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</si>
  <si>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</si>
  <si>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</si>
  <si>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</si>
  <si>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</si>
  <si>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</si>
  <si>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</si>
  <si>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</si>
  <si>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</si>
  <si>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</si>
  <si>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</si>
  <si>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</si>
  <si>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</si>
  <si>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</si>
  <si>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</si>
  <si>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</si>
  <si>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</si>
  <si>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</si>
  <si>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</si>
  <si>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</si>
  <si>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</si>
  <si>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</si>
  <si>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</si>
  <si>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</si>
  <si>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</si>
  <si>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</si>
  <si>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</si>
  <si>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</si>
  <si>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</si>
  <si>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</si>
  <si>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</si>
  <si>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</si>
  <si>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</si>
  <si>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</si>
  <si>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</si>
  <si>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</si>
  <si>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</si>
  <si>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</si>
  <si>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</si>
  <si>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</si>
  <si>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</si>
  <si>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</si>
  <si>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</si>
  <si>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</si>
  <si>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</si>
  <si>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</si>
  <si>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</si>
  <si>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</si>
  <si>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</si>
  <si>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</si>
  <si>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</si>
  <si>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</si>
  <si>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</si>
  <si>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</si>
  <si>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</si>
  <si>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</si>
  <si>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</si>
  <si>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</si>
  <si>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</si>
  <si>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</si>
  <si>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</si>
  <si>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</si>
  <si>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</si>
  <si>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</si>
  <si>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</si>
  <si>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</si>
  <si>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WPB-263848</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</si>
  <si>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</si>
  <si>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</si>
  <si>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</si>
  <si>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</si>
  <si>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</si>
  <si>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</si>
  <si>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</si>
  <si>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</si>
  <si>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</si>
  <si>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</si>
  <si>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</si>
  <si>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</si>
  <si>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</si>
  <si>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</si>
  <si>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</si>
  <si>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</si>
  <si>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</si>
  <si>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</si>
  <si>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</si>
  <si>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</si>
  <si>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</si>
  <si>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</si>
  <si>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</si>
  <si>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</si>
  <si>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</si>
  <si>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</si>
  <si>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</si>
  <si>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</si>
  <si>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</si>
  <si>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</si>
  <si>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</si>
  <si>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</si>
  <si>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</si>
  <si>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</si>
  <si>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</si>
  <si>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</si>
  <si>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</si>
  <si>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</si>
  <si>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</si>
  <si>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</si>
  <si>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</si>
  <si>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</si>
  <si>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</si>
  <si>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</si>
  <si>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</si>
  <si>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</si>
  <si>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</si>
  <si>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</si>
  <si>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</si>
  <si>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</si>
  <si>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</si>
  <si>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</si>
  <si>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</si>
  <si>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</si>
  <si>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</si>
  <si>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</si>
  <si>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</si>
  <si>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</si>
  <si>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</si>
  <si>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</si>
  <si>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</si>
  <si>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</si>
  <si>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</si>
  <si>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</si>
  <si>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</si>
  <si>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</si>
  <si>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</si>
  <si>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</si>
  <si>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</si>
  <si>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</si>
  <si>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</si>
  <si>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</si>
  <si>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</si>
  <si>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</si>
  <si>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</si>
  <si>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</si>
  <si>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</si>
  <si>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</si>
  <si>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</si>
  <si>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</si>
  <si>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</si>
  <si>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</si>
  <si>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</si>
  <si>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</si>
  <si>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</si>
  <si>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</si>
  <si>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</si>
  <si>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</si>
  <si>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</si>
  <si>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</si>
  <si>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</si>
  <si>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</si>
  <si>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</si>
  <si>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</si>
  <si>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</si>
  <si>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</si>
  <si>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</si>
  <si>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</si>
  <si>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</si>
  <si>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</si>
  <si>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</si>
  <si>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</si>
  <si>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</si>
  <si>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</si>
  <si>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</si>
  <si>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</si>
  <si>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</si>
  <si>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</si>
  <si>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</si>
  <si>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</si>
  <si>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</si>
  <si>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</si>
  <si>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</si>
  <si>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</si>
  <si>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</si>
  <si>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</si>
  <si>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</si>
  <si>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</si>
  <si>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</si>
  <si>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</si>
  <si>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</si>
  <si>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Oct 2023</t>
  </si>
  <si>
    <t>Feb 2024</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</si>
  <si>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</si>
  <si>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</si>
  <si>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</si>
  <si>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</si>
  <si>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</si>
  <si>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</si>
  <si>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</si>
  <si>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</si>
  <si>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</si>
  <si>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</si>
  <si>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Oversight web page.</t>
  </si>
  <si>
    <t>WPB-XXX</t>
  </si>
  <si>
    <t>*Use this for each tab in worksheet, current month is excluded for  calc.</t>
  </si>
  <si>
    <t>2024-25</t>
  </si>
  <si>
    <t>Based on the FLDOE 2024-25 Second Calculation</t>
  </si>
  <si>
    <t>Maintenance Portion (5.59% of Base Funding)</t>
  </si>
  <si>
    <t>Maintenance Portion (5.59% of Conference Funding)</t>
  </si>
  <si>
    <t>WPB-288120</t>
  </si>
  <si>
    <t>FEFP Adj</t>
  </si>
  <si>
    <t>Growth Portion (1.07% of Base Funding)</t>
  </si>
  <si>
    <t>Growth Portion (1.07% of Conference Funding)</t>
  </si>
  <si>
    <t>2. The FDOE has issued the 2024-25 2nd Calc Revenue Second Worksheet for Charter Schools,  which was used in the</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</si>
  <si>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</si>
  <si>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</si>
  <si>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</si>
  <si>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</si>
  <si>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</si>
  <si>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</si>
  <si>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</si>
  <si>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</si>
  <si>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</si>
  <si>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</si>
  <si>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</si>
  <si>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</si>
  <si>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r>
      <rPr>
        <b/>
        <sz val="10"/>
        <color indexed="12"/>
        <rFont val="Calibri"/>
        <family val="2"/>
      </rPr>
      <t xml:space="preserve">December 2024 - </t>
    </r>
    <r>
      <rPr>
        <b/>
        <sz val="10"/>
        <rFont val="Calibri"/>
        <family val="2"/>
      </rPr>
      <t xml:space="preserve">FY </t>
    </r>
    <r>
      <rPr>
        <b/>
        <sz val="10"/>
        <color indexed="12"/>
        <rFont val="Calibri"/>
        <family val="2"/>
      </rPr>
      <t xml:space="preserve">2025 </t>
    </r>
    <r>
      <rPr>
        <b/>
        <sz val="10"/>
        <rFont val="Calibri"/>
        <family val="2"/>
      </rPr>
      <t>Charter School FTE Payment</t>
    </r>
  </si>
  <si>
    <t>December 2024</t>
  </si>
  <si>
    <t>Revenue Estimate Worksheet: Bodwell Academy - 2531</t>
  </si>
  <si>
    <t>FTE December 2024</t>
  </si>
  <si>
    <t>WPB</t>
  </si>
  <si>
    <t>Bodwell Academy</t>
  </si>
  <si>
    <t>*Revenue related to first two payments to 3391 Seagull Academy</t>
  </si>
  <si>
    <t>Ties to Cummulative Payment Tabs Column D</t>
  </si>
  <si>
    <t xml:space="preserve">PY Final FEFP </t>
  </si>
  <si>
    <t xml:space="preserve">   December 2024 calculation,  FY 25.</t>
  </si>
  <si>
    <t>the December 2024 payment calculations. This report has been uploaded to the District's Charter School Fiscal</t>
  </si>
  <si>
    <t>1. The FLDOE released the Feb 2025 FTE Survey 2 report on 11/06/24. FTE counts from this report are used in</t>
  </si>
  <si>
    <t>and open the "Payments 2022-23" section on the next page).</t>
  </si>
  <si>
    <t>3. The Budget Department received the FDOE's 2023-24 Final FTE count survey report.  The prior year final FEFP</t>
  </si>
  <si>
    <t>adjustments added to or deducted from the December 2024 FEFP payments are based on the following</t>
  </si>
  <si>
    <t>documents uploaded to the District's Charter School Fiscal Oversight web page (click on "Payments 2013-24"</t>
  </si>
  <si>
    <t>a.  FY24 Final FTE Revenue Worksheet</t>
  </si>
  <si>
    <t>b.  FDOE 2023-24 Final Survey</t>
  </si>
  <si>
    <t>WPB-290717</t>
  </si>
  <si>
    <t>WPB-291120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</si>
</sst>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81" formatCode="_(* #,##0.0000_);_(* \(#,##0.0000\);_(* &quot;-&quot;??_);_(@_)"/>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65" fontId="7" fillId="0" borderId="0" applyFont="0" applyFill="0" applyBorder="0" applyAlignment="0" applyProtection="0"/>
    <xf numFmtId="44" fontId="16"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6" fillId="0" borderId="0"/>
    <xf numFmtId="43" fontId="6" fillId="0" borderId="0" applyFont="0" applyFill="0" applyBorder="0" applyAlignment="0" applyProtection="0"/>
  </cellStyleXfs>
  <cellXfs count="819">
    <xf numFmtId="0" fontId="0" fillId="0" borderId="0" xfId="0"/>
    <xf numFmtId="0" fontId="17" fillId="0" borderId="0" xfId="0" quotePrefix="1" applyFont="1" applyAlignment="1">
      <alignment horizontal="left"/>
    </xf>
    <xf numFmtId="0" fontId="17" fillId="0" borderId="0" xfId="0" applyFont="1"/>
    <xf numFmtId="0" fontId="18" fillId="0" borderId="0" xfId="0" applyFont="1"/>
    <xf numFmtId="4" fontId="19" fillId="0" borderId="0" xfId="0" applyNumberFormat="1" applyFont="1"/>
    <xf numFmtId="4" fontId="19" fillId="2" borderId="0" xfId="0" applyNumberFormat="1" applyFont="1" applyFill="1"/>
    <xf numFmtId="4" fontId="19" fillId="2" borderId="0" xfId="0" applyNumberFormat="1" applyFont="1" applyFill="1" applyAlignment="1">
      <alignment horizontal="left"/>
    </xf>
    <xf numFmtId="0" fontId="20" fillId="0" borderId="0" xfId="0" applyFont="1" applyAlignment="1">
      <alignment horizontal="center"/>
    </xf>
    <xf numFmtId="7" fontId="21" fillId="0" borderId="0" xfId="0" applyNumberFormat="1" applyFont="1" applyAlignment="1">
      <alignment horizontal="center"/>
    </xf>
    <xf numFmtId="168" fontId="18" fillId="0" borderId="0" xfId="0" applyNumberFormat="1" applyFont="1" applyAlignment="1">
      <alignment wrapText="1"/>
    </xf>
    <xf numFmtId="4" fontId="18" fillId="0" borderId="0" xfId="0" applyNumberFormat="1" applyFont="1" applyAlignment="1">
      <alignment horizontal="center" wrapText="1"/>
    </xf>
    <xf numFmtId="164" fontId="18" fillId="0" borderId="0" xfId="6" applyFont="1" applyBorder="1" applyAlignment="1">
      <alignment horizontal="center" wrapText="1"/>
    </xf>
    <xf numFmtId="0" fontId="20" fillId="2" borderId="0" xfId="0" applyFont="1" applyFill="1" applyAlignment="1">
      <alignment horizontal="center"/>
    </xf>
    <xf numFmtId="7" fontId="21" fillId="2" borderId="0" xfId="0" applyNumberFormat="1" applyFont="1" applyFill="1" applyAlignment="1">
      <alignment horizontal="center"/>
    </xf>
    <xf numFmtId="168" fontId="18" fillId="2" borderId="0" xfId="0" applyNumberFormat="1" applyFont="1" applyFill="1" applyAlignment="1">
      <alignment wrapText="1"/>
    </xf>
    <xf numFmtId="4" fontId="18" fillId="2" borderId="0" xfId="0" applyNumberFormat="1" applyFont="1" applyFill="1" applyAlignment="1">
      <alignment horizontal="center" wrapText="1"/>
    </xf>
    <xf numFmtId="164" fontId="18" fillId="2" borderId="0" xfId="6" applyFont="1" applyFill="1" applyBorder="1" applyAlignment="1">
      <alignment horizontal="center" wrapText="1"/>
    </xf>
    <xf numFmtId="4" fontId="18" fillId="0" borderId="1" xfId="0" applyNumberFormat="1" applyFont="1" applyBorder="1" applyAlignment="1">
      <alignment horizontal="center" wrapText="1"/>
    </xf>
    <xf numFmtId="4" fontId="18" fillId="2" borderId="1" xfId="0" applyNumberFormat="1" applyFont="1" applyFill="1" applyBorder="1" applyAlignment="1">
      <alignment horizontal="center" wrapText="1"/>
    </xf>
    <xf numFmtId="164" fontId="22" fillId="2" borderId="1" xfId="6" applyFont="1" applyFill="1" applyBorder="1" applyAlignment="1">
      <alignment horizontal="center" wrapText="1"/>
    </xf>
    <xf numFmtId="4" fontId="18" fillId="0" borderId="1" xfId="0" quotePrefix="1" applyNumberFormat="1" applyFont="1" applyBorder="1" applyAlignment="1">
      <alignment horizontal="center"/>
    </xf>
    <xf numFmtId="164" fontId="18" fillId="0" borderId="1" xfId="6" quotePrefix="1" applyFont="1" applyBorder="1" applyAlignment="1">
      <alignment horizontal="center"/>
    </xf>
    <xf numFmtId="4" fontId="18" fillId="2" borderId="1" xfId="0" quotePrefix="1" applyNumberFormat="1" applyFont="1" applyFill="1" applyBorder="1" applyAlignment="1">
      <alignment horizontal="center"/>
    </xf>
    <xf numFmtId="164" fontId="18" fillId="2" borderId="1" xfId="6" quotePrefix="1" applyFont="1" applyFill="1" applyBorder="1" applyAlignment="1">
      <alignment horizontal="center"/>
    </xf>
    <xf numFmtId="170" fontId="18" fillId="0" borderId="0" xfId="6" applyNumberFormat="1" applyFont="1" applyBorder="1" applyAlignment="1">
      <alignment horizontal="center"/>
    </xf>
    <xf numFmtId="170" fontId="18" fillId="2" borderId="0" xfId="6" applyNumberFormat="1" applyFont="1" applyFill="1" applyBorder="1" applyAlignment="1">
      <alignment horizontal="center"/>
    </xf>
    <xf numFmtId="0" fontId="18" fillId="0" borderId="0" xfId="0" applyFont="1" applyAlignment="1">
      <alignment horizontal="right"/>
    </xf>
    <xf numFmtId="2" fontId="18" fillId="0" borderId="0" xfId="0" applyNumberFormat="1" applyFont="1" applyAlignment="1">
      <alignment horizontal="center"/>
    </xf>
    <xf numFmtId="0" fontId="18" fillId="2" borderId="0" xfId="0" applyFont="1" applyFill="1" applyAlignment="1">
      <alignment horizontal="right"/>
    </xf>
    <xf numFmtId="2" fontId="23" fillId="2" borderId="0" xfId="0" applyNumberFormat="1" applyFont="1" applyFill="1" applyAlignment="1">
      <alignment horizontal="center"/>
    </xf>
    <xf numFmtId="2" fontId="18" fillId="2" borderId="0" xfId="0" applyNumberFormat="1" applyFont="1" applyFill="1" applyAlignment="1">
      <alignment horizontal="center"/>
    </xf>
    <xf numFmtId="164" fontId="22" fillId="0" borderId="1" xfId="6" applyFont="1" applyBorder="1" applyAlignment="1">
      <alignment horizontal="center" wrapText="1"/>
    </xf>
    <xf numFmtId="169" fontId="18" fillId="0" borderId="0" xfId="0" applyNumberFormat="1" applyFont="1" applyAlignment="1">
      <alignment horizontal="right"/>
    </xf>
    <xf numFmtId="169" fontId="18" fillId="2" borderId="0" xfId="0" applyNumberFormat="1" applyFont="1" applyFill="1" applyAlignment="1">
      <alignment horizontal="right"/>
    </xf>
    <xf numFmtId="169" fontId="23" fillId="0" borderId="0" xfId="0" applyNumberFormat="1" applyFont="1" applyAlignment="1">
      <alignment horizontal="right"/>
    </xf>
    <xf numFmtId="169" fontId="23" fillId="2" borderId="0" xfId="0" applyNumberFormat="1" applyFont="1" applyFill="1" applyAlignment="1">
      <alignment horizontal="right"/>
    </xf>
    <xf numFmtId="0" fontId="18" fillId="0" borderId="1" xfId="0" applyFont="1" applyBorder="1"/>
    <xf numFmtId="0" fontId="18" fillId="0" borderId="0" xfId="0" applyFont="1" applyAlignment="1">
      <alignment horizontal="center"/>
    </xf>
    <xf numFmtId="0" fontId="18" fillId="2" borderId="0" xfId="0" applyFont="1" applyFill="1" applyAlignment="1">
      <alignment horizontal="center"/>
    </xf>
    <xf numFmtId="0" fontId="18" fillId="0" borderId="0" xfId="0" quotePrefix="1" applyFont="1" applyAlignment="1">
      <alignment horizontal="center"/>
    </xf>
    <xf numFmtId="0" fontId="18" fillId="2" borderId="0" xfId="0" quotePrefix="1" applyFont="1" applyFill="1" applyAlignment="1">
      <alignment horizontal="center"/>
    </xf>
    <xf numFmtId="4" fontId="23" fillId="2" borderId="1" xfId="0" applyNumberFormat="1" applyFont="1" applyFill="1" applyBorder="1" applyAlignment="1">
      <alignment horizontal="center"/>
    </xf>
    <xf numFmtId="0" fontId="20" fillId="0" borderId="0" xfId="0" quotePrefix="1" applyFont="1" applyAlignment="1">
      <alignment horizontal="center"/>
    </xf>
    <xf numFmtId="4" fontId="18" fillId="0" borderId="0" xfId="0" quotePrefix="1" applyNumberFormat="1" applyFont="1" applyAlignment="1">
      <alignment horizontal="center"/>
    </xf>
    <xf numFmtId="4" fontId="18" fillId="2" borderId="0" xfId="0" quotePrefix="1" applyNumberFormat="1" applyFont="1" applyFill="1" applyAlignment="1">
      <alignment horizontal="center"/>
    </xf>
    <xf numFmtId="0" fontId="18" fillId="2" borderId="0" xfId="0" applyFont="1" applyFill="1" applyAlignment="1">
      <alignment horizontal="left"/>
    </xf>
    <xf numFmtId="169" fontId="18" fillId="0" borderId="0" xfId="0" applyNumberFormat="1" applyFont="1" applyAlignment="1">
      <alignment horizontal="center"/>
    </xf>
    <xf numFmtId="169" fontId="18" fillId="2" borderId="0" xfId="0" applyNumberFormat="1" applyFont="1" applyFill="1" applyAlignment="1">
      <alignment horizontal="center"/>
    </xf>
    <xf numFmtId="4" fontId="18" fillId="2" borderId="0" xfId="0" applyNumberFormat="1" applyFont="1" applyFill="1" applyAlignment="1">
      <alignment horizontal="center"/>
    </xf>
    <xf numFmtId="16" fontId="18" fillId="0" borderId="0" xfId="0" quotePrefix="1" applyNumberFormat="1" applyFont="1" applyAlignment="1">
      <alignment horizontal="right"/>
    </xf>
    <xf numFmtId="16" fontId="18" fillId="2" borderId="0" xfId="0" quotePrefix="1" applyNumberFormat="1" applyFont="1" applyFill="1" applyAlignment="1">
      <alignment horizontal="right"/>
    </xf>
    <xf numFmtId="0" fontId="18" fillId="2" borderId="0" xfId="0" applyFont="1" applyFill="1"/>
    <xf numFmtId="0" fontId="18" fillId="0" borderId="0" xfId="0" quotePrefix="1" applyFont="1" applyAlignment="1">
      <alignment horizontal="right"/>
    </xf>
    <xf numFmtId="0" fontId="18" fillId="2" borderId="0" xfId="0" quotePrefix="1" applyFont="1" applyFill="1" applyAlignment="1">
      <alignment horizontal="right"/>
    </xf>
    <xf numFmtId="169" fontId="18" fillId="2" borderId="2" xfId="0" applyNumberFormat="1" applyFont="1" applyFill="1" applyBorder="1" applyAlignment="1">
      <alignment horizontal="center"/>
    </xf>
    <xf numFmtId="165" fontId="18" fillId="0" borderId="0" xfId="4" applyFont="1" applyBorder="1" applyAlignment="1">
      <alignment horizontal="right"/>
    </xf>
    <xf numFmtId="165" fontId="18" fillId="2" borderId="0" xfId="4" applyFont="1" applyFill="1" applyBorder="1" applyAlignment="1">
      <alignment horizontal="right"/>
    </xf>
    <xf numFmtId="169" fontId="18" fillId="2" borderId="3" xfId="0" applyNumberFormat="1" applyFont="1" applyFill="1" applyBorder="1" applyAlignment="1">
      <alignment horizontal="center"/>
    </xf>
    <xf numFmtId="38" fontId="18" fillId="2" borderId="0" xfId="0" quotePrefix="1" applyNumberFormat="1" applyFont="1" applyFill="1"/>
    <xf numFmtId="0" fontId="18" fillId="0" borderId="1" xfId="0" applyFont="1" applyBorder="1" applyAlignment="1">
      <alignment horizontal="center"/>
    </xf>
    <xf numFmtId="0" fontId="18" fillId="2" borderId="1" xfId="0" applyFont="1" applyFill="1" applyBorder="1" applyAlignment="1">
      <alignment horizontal="center"/>
    </xf>
    <xf numFmtId="7" fontId="18" fillId="3" borderId="0" xfId="0" applyNumberFormat="1" applyFont="1" applyFill="1"/>
    <xf numFmtId="7" fontId="18" fillId="2" borderId="0" xfId="0" applyNumberFormat="1" applyFont="1" applyFill="1"/>
    <xf numFmtId="7" fontId="18" fillId="3" borderId="1" xfId="0" applyNumberFormat="1" applyFont="1" applyFill="1" applyBorder="1"/>
    <xf numFmtId="7" fontId="18" fillId="2" borderId="1" xfId="0" applyNumberFormat="1" applyFont="1" applyFill="1" applyBorder="1"/>
    <xf numFmtId="0" fontId="24" fillId="0" borderId="0" xfId="0" applyFont="1"/>
    <xf numFmtId="0" fontId="24" fillId="2" borderId="0" xfId="0" applyFont="1" applyFill="1"/>
    <xf numFmtId="170" fontId="18" fillId="2" borderId="3" xfId="0" applyNumberFormat="1" applyFont="1" applyFill="1" applyBorder="1"/>
    <xf numFmtId="3" fontId="18" fillId="0" borderId="0" xfId="0" quotePrefix="1" applyNumberFormat="1" applyFont="1" applyAlignment="1">
      <alignment horizontal="center"/>
    </xf>
    <xf numFmtId="0" fontId="18" fillId="0" borderId="0" xfId="0" applyFont="1" applyAlignment="1">
      <alignment horizontal="left"/>
    </xf>
    <xf numFmtId="0" fontId="24" fillId="4" borderId="4" xfId="0" applyFont="1" applyFill="1" applyBorder="1" applyAlignment="1">
      <alignment horizontal="center"/>
    </xf>
    <xf numFmtId="0" fontId="22" fillId="2" borderId="0" xfId="0" applyFont="1" applyFill="1"/>
    <xf numFmtId="0" fontId="22" fillId="2" borderId="0" xfId="0" quotePrefix="1" applyFont="1" applyFill="1" applyAlignment="1">
      <alignment horizontal="left"/>
    </xf>
    <xf numFmtId="0" fontId="22" fillId="0" borderId="0" xfId="0" applyFont="1" applyAlignment="1">
      <alignment horizontal="left"/>
    </xf>
    <xf numFmtId="171" fontId="18" fillId="0" borderId="0" xfId="0" applyNumberFormat="1" applyFont="1" applyAlignment="1">
      <alignment horizontal="left"/>
    </xf>
    <xf numFmtId="169" fontId="20" fillId="0" borderId="0" xfId="0" applyNumberFormat="1" applyFont="1"/>
    <xf numFmtId="0" fontId="18" fillId="0" borderId="0" xfId="0" applyFont="1" applyAlignment="1">
      <alignment vertical="center"/>
    </xf>
    <xf numFmtId="170" fontId="18" fillId="0" borderId="0" xfId="0" applyNumberFormat="1" applyFont="1" applyAlignment="1">
      <alignment vertical="center"/>
    </xf>
    <xf numFmtId="171" fontId="18" fillId="0" borderId="0" xfId="0" applyNumberFormat="1" applyFont="1" applyAlignment="1">
      <alignment horizontal="left" vertical="center"/>
    </xf>
    <xf numFmtId="0" fontId="20" fillId="0" borderId="0" xfId="0" applyFont="1" applyAlignment="1">
      <alignment vertical="center"/>
    </xf>
    <xf numFmtId="172" fontId="18" fillId="0" borderId="0" xfId="0" applyNumberFormat="1" applyFont="1"/>
    <xf numFmtId="0" fontId="18" fillId="0" borderId="0" xfId="0" quotePrefix="1" applyFont="1" applyAlignment="1">
      <alignment horizontal="left"/>
    </xf>
    <xf numFmtId="0" fontId="25" fillId="0" borderId="3" xfId="0" applyFont="1" applyBorder="1"/>
    <xf numFmtId="4" fontId="18" fillId="2" borderId="0" xfId="0" applyNumberFormat="1" applyFont="1" applyFill="1" applyAlignment="1">
      <alignment horizontal="left"/>
    </xf>
    <xf numFmtId="0" fontId="20" fillId="0" borderId="0" xfId="0" quotePrefix="1" applyFont="1"/>
    <xf numFmtId="0" fontId="20" fillId="0" borderId="0" xfId="0" quotePrefix="1" applyFont="1" applyAlignment="1">
      <alignment horizontal="right"/>
    </xf>
    <xf numFmtId="49" fontId="20" fillId="0" borderId="0" xfId="0" applyNumberFormat="1" applyFont="1"/>
    <xf numFmtId="49" fontId="20" fillId="0" borderId="0" xfId="0" applyNumberFormat="1" applyFont="1" applyProtection="1">
      <protection locked="0"/>
    </xf>
    <xf numFmtId="7" fontId="24" fillId="0" borderId="0" xfId="0" quotePrefix="1" applyNumberFormat="1" applyFont="1" applyAlignment="1">
      <alignment horizontal="center"/>
    </xf>
    <xf numFmtId="7" fontId="24" fillId="0" borderId="0" xfId="0" applyNumberFormat="1" applyFont="1" applyAlignment="1">
      <alignment horizontal="center"/>
    </xf>
    <xf numFmtId="0" fontId="24" fillId="0" borderId="1" xfId="0" applyFont="1" applyBorder="1" applyAlignment="1">
      <alignment horizontal="center"/>
    </xf>
    <xf numFmtId="0" fontId="25" fillId="0" borderId="1" xfId="0" quotePrefix="1" applyFont="1" applyBorder="1"/>
    <xf numFmtId="0" fontId="18" fillId="0" borderId="1" xfId="0" quotePrefix="1" applyFont="1" applyBorder="1" applyAlignment="1">
      <alignment horizontal="center"/>
    </xf>
    <xf numFmtId="172" fontId="18" fillId="0" borderId="1" xfId="0" applyNumberFormat="1" applyFont="1" applyBorder="1"/>
    <xf numFmtId="43" fontId="18" fillId="0" borderId="1" xfId="1" applyFont="1" applyBorder="1" applyAlignment="1"/>
    <xf numFmtId="167" fontId="18" fillId="2" borderId="1" xfId="0" applyNumberFormat="1" applyFont="1" applyFill="1" applyBorder="1"/>
    <xf numFmtId="170" fontId="18" fillId="2" borderId="1" xfId="6" applyNumberFormat="1" applyFont="1" applyFill="1" applyBorder="1" applyAlignment="1"/>
    <xf numFmtId="43" fontId="18" fillId="0" borderId="5" xfId="1" applyFont="1" applyBorder="1" applyAlignment="1"/>
    <xf numFmtId="170" fontId="18" fillId="2" borderId="5" xfId="6" applyNumberFormat="1" applyFont="1" applyFill="1" applyBorder="1" applyAlignment="1"/>
    <xf numFmtId="172" fontId="18" fillId="0" borderId="5" xfId="0" applyNumberFormat="1" applyFont="1" applyBorder="1"/>
    <xf numFmtId="169" fontId="18" fillId="2" borderId="5" xfId="0" applyNumberFormat="1" applyFont="1" applyFill="1" applyBorder="1"/>
    <xf numFmtId="43" fontId="18" fillId="0" borderId="0" xfId="1" applyFont="1" applyBorder="1" applyAlignment="1"/>
    <xf numFmtId="169" fontId="18" fillId="2" borderId="0" xfId="0" applyNumberFormat="1" applyFont="1" applyFill="1"/>
    <xf numFmtId="170" fontId="18" fillId="2" borderId="0" xfId="6" applyNumberFormat="1" applyFont="1" applyFill="1" applyBorder="1" applyAlignment="1"/>
    <xf numFmtId="169" fontId="18" fillId="0" borderId="0" xfId="0" applyNumberFormat="1" applyFont="1"/>
    <xf numFmtId="2" fontId="24" fillId="0" borderId="1" xfId="0" applyNumberFormat="1" applyFont="1" applyBorder="1"/>
    <xf numFmtId="2" fontId="18" fillId="0" borderId="0" xfId="0" applyNumberFormat="1" applyFont="1"/>
    <xf numFmtId="2" fontId="18" fillId="0" borderId="0" xfId="0" quotePrefix="1" applyNumberFormat="1" applyFont="1" applyAlignment="1">
      <alignment horizontal="right"/>
    </xf>
    <xf numFmtId="170" fontId="18" fillId="2" borderId="3" xfId="6" applyNumberFormat="1" applyFont="1" applyFill="1" applyBorder="1" applyAlignment="1"/>
    <xf numFmtId="2" fontId="18" fillId="0" borderId="0" xfId="0" quotePrefix="1" applyNumberFormat="1" applyFont="1" applyAlignment="1">
      <alignment horizontal="center"/>
    </xf>
    <xf numFmtId="43" fontId="26" fillId="4" borderId="1" xfId="1" applyFont="1" applyFill="1" applyBorder="1" applyAlignment="1"/>
    <xf numFmtId="43" fontId="18" fillId="0" borderId="6" xfId="1" applyFont="1" applyBorder="1" applyAlignment="1"/>
    <xf numFmtId="43" fontId="23" fillId="0" borderId="1" xfId="1" applyFont="1" applyBorder="1" applyAlignment="1">
      <alignment horizontal="center"/>
    </xf>
    <xf numFmtId="4" fontId="27" fillId="0" borderId="0" xfId="0" applyNumberFormat="1" applyFont="1"/>
    <xf numFmtId="166" fontId="23" fillId="0" borderId="0" xfId="0" applyNumberFormat="1" applyFont="1" applyAlignment="1">
      <alignment horizontal="center"/>
    </xf>
    <xf numFmtId="166" fontId="23" fillId="0" borderId="0" xfId="0" applyNumberFormat="1" applyFont="1"/>
    <xf numFmtId="43" fontId="18" fillId="0" borderId="0" xfId="1" applyFont="1" applyFill="1" applyBorder="1" applyAlignment="1"/>
    <xf numFmtId="41" fontId="18" fillId="0" borderId="0" xfId="1" applyNumberFormat="1" applyFont="1" applyFill="1" applyBorder="1" applyAlignment="1"/>
    <xf numFmtId="0" fontId="27" fillId="0" borderId="0" xfId="0" applyFont="1"/>
    <xf numFmtId="0" fontId="27" fillId="0" borderId="0" xfId="0" quotePrefix="1" applyFont="1" applyAlignment="1">
      <alignment horizontal="left"/>
    </xf>
    <xf numFmtId="4" fontId="18" fillId="0" borderId="1" xfId="0" applyNumberFormat="1" applyFont="1" applyBorder="1" applyAlignment="1">
      <alignment horizontal="center"/>
    </xf>
    <xf numFmtId="4" fontId="18" fillId="0" borderId="0" xfId="0" applyNumberFormat="1" applyFont="1"/>
    <xf numFmtId="165" fontId="18" fillId="0" borderId="0" xfId="4" quotePrefix="1" applyFont="1" applyBorder="1" applyAlignment="1">
      <alignment horizontal="right"/>
    </xf>
    <xf numFmtId="165" fontId="18" fillId="0" borderId="0" xfId="4" applyFont="1" applyBorder="1" applyAlignment="1"/>
    <xf numFmtId="165" fontId="18" fillId="0" borderId="7" xfId="4" quotePrefix="1" applyFont="1" applyBorder="1" applyAlignment="1">
      <alignment horizontal="right"/>
    </xf>
    <xf numFmtId="4" fontId="18" fillId="2" borderId="0" xfId="0" quotePrefix="1" applyNumberFormat="1" applyFont="1" applyFill="1" applyAlignment="1">
      <alignment horizontal="left"/>
    </xf>
    <xf numFmtId="4" fontId="18" fillId="0" borderId="0" xfId="0" applyNumberFormat="1" applyFont="1" applyAlignment="1">
      <alignment horizontal="center"/>
    </xf>
    <xf numFmtId="0" fontId="24" fillId="0" borderId="0" xfId="0" applyFont="1" applyAlignment="1">
      <alignment horizontal="right"/>
    </xf>
    <xf numFmtId="4" fontId="18" fillId="0" borderId="0" xfId="0" applyNumberFormat="1" applyFont="1" applyAlignment="1">
      <alignment horizontal="left"/>
    </xf>
    <xf numFmtId="38" fontId="18" fillId="0" borderId="0" xfId="0" quotePrefix="1" applyNumberFormat="1" applyFont="1"/>
    <xf numFmtId="0" fontId="24" fillId="2" borderId="0" xfId="0" applyFont="1" applyFill="1" applyAlignment="1">
      <alignment horizontal="right"/>
    </xf>
    <xf numFmtId="0" fontId="24" fillId="2" borderId="0" xfId="0" applyFont="1" applyFill="1" applyAlignment="1">
      <alignment horizontal="center"/>
    </xf>
    <xf numFmtId="170" fontId="18" fillId="2" borderId="8" xfId="0" applyNumberFormat="1" applyFont="1" applyFill="1" applyBorder="1"/>
    <xf numFmtId="43" fontId="18" fillId="0" borderId="8" xfId="1" applyFont="1" applyBorder="1" applyAlignment="1"/>
    <xf numFmtId="170" fontId="18" fillId="0" borderId="0" xfId="0" applyNumberFormat="1" applyFont="1"/>
    <xf numFmtId="0" fontId="20" fillId="0" borderId="0" xfId="0" applyFont="1"/>
    <xf numFmtId="43" fontId="18" fillId="4" borderId="1" xfId="1" applyFont="1" applyFill="1" applyBorder="1" applyAlignment="1"/>
    <xf numFmtId="7" fontId="18" fillId="0" borderId="0" xfId="0" applyNumberFormat="1" applyFont="1" applyAlignment="1">
      <alignment horizontal="center"/>
    </xf>
    <xf numFmtId="170" fontId="18" fillId="2" borderId="0" xfId="0" applyNumberFormat="1" applyFont="1" applyFill="1"/>
    <xf numFmtId="0" fontId="29" fillId="0" borderId="0" xfId="0" applyFont="1"/>
    <xf numFmtId="0" fontId="26" fillId="0" borderId="0" xfId="0" applyFont="1" applyAlignment="1">
      <alignment horizontal="center"/>
    </xf>
    <xf numFmtId="43" fontId="26" fillId="4" borderId="6" xfId="1" applyFont="1" applyFill="1" applyBorder="1" applyAlignment="1"/>
    <xf numFmtId="43" fontId="18" fillId="4" borderId="6" xfId="1" applyFont="1" applyFill="1" applyBorder="1" applyAlignment="1"/>
    <xf numFmtId="43" fontId="26" fillId="4" borderId="0" xfId="1" applyFont="1" applyFill="1" applyBorder="1" applyAlignment="1"/>
    <xf numFmtId="43" fontId="18" fillId="4" borderId="0" xfId="1" applyFont="1" applyFill="1" applyBorder="1" applyAlignment="1"/>
    <xf numFmtId="172" fontId="18" fillId="0" borderId="6" xfId="0" applyNumberFormat="1" applyFont="1" applyBorder="1"/>
    <xf numFmtId="0" fontId="18" fillId="0" borderId="0" xfId="0" applyFont="1" applyAlignment="1">
      <alignment horizontal="left" indent="1"/>
    </xf>
    <xf numFmtId="43" fontId="30" fillId="4" borderId="6" xfId="1" applyFont="1" applyFill="1" applyBorder="1" applyAlignment="1"/>
    <xf numFmtId="4" fontId="24" fillId="0" borderId="6" xfId="0" applyNumberFormat="1" applyFont="1" applyBorder="1"/>
    <xf numFmtId="43" fontId="30" fillId="4" borderId="1" xfId="1" applyFont="1" applyFill="1" applyBorder="1" applyAlignment="1"/>
    <xf numFmtId="43" fontId="30" fillId="4" borderId="0" xfId="1" applyFont="1" applyFill="1" applyBorder="1" applyAlignment="1"/>
    <xf numFmtId="4" fontId="24" fillId="0" borderId="0" xfId="0" applyNumberFormat="1" applyFont="1"/>
    <xf numFmtId="173" fontId="18" fillId="0" borderId="9" xfId="1" applyNumberFormat="1" applyFont="1" applyBorder="1" applyAlignment="1"/>
    <xf numFmtId="41" fontId="18" fillId="0" borderId="0" xfId="1" applyNumberFormat="1" applyFont="1" applyBorder="1" applyAlignment="1"/>
    <xf numFmtId="43" fontId="18" fillId="0" borderId="1" xfId="1" applyFont="1" applyFill="1" applyBorder="1" applyAlignment="1"/>
    <xf numFmtId="43" fontId="18" fillId="5" borderId="8" xfId="1" applyFont="1" applyFill="1" applyBorder="1" applyAlignment="1"/>
    <xf numFmtId="0" fontId="18" fillId="0" borderId="0" xfId="0" applyFont="1" applyAlignment="1">
      <alignment horizontal="left" indent="2"/>
    </xf>
    <xf numFmtId="0" fontId="18" fillId="0" borderId="0" xfId="7" applyFont="1"/>
    <xf numFmtId="0" fontId="31" fillId="0" borderId="0" xfId="9" applyFont="1"/>
    <xf numFmtId="0" fontId="26" fillId="0" borderId="10" xfId="9" applyFont="1" applyBorder="1" applyAlignment="1">
      <alignment horizontal="right"/>
    </xf>
    <xf numFmtId="0" fontId="24" fillId="0" borderId="11" xfId="9" applyFont="1" applyBorder="1"/>
    <xf numFmtId="0" fontId="18" fillId="0" borderId="0" xfId="9" applyFont="1"/>
    <xf numFmtId="0" fontId="32" fillId="0" borderId="0" xfId="9" applyFont="1"/>
    <xf numFmtId="0" fontId="24" fillId="0" borderId="1" xfId="9" applyFont="1" applyBorder="1" applyAlignment="1">
      <alignment horizontal="center"/>
    </xf>
    <xf numFmtId="0" fontId="32" fillId="0" borderId="10" xfId="9" applyFont="1" applyBorder="1"/>
    <xf numFmtId="0" fontId="32" fillId="0" borderId="11" xfId="9" applyFont="1" applyBorder="1" applyAlignment="1">
      <alignment horizontal="center"/>
    </xf>
    <xf numFmtId="44" fontId="31" fillId="0" borderId="0" xfId="9" applyNumberFormat="1" applyFont="1"/>
    <xf numFmtId="0" fontId="32" fillId="0" borderId="0" xfId="9" applyFont="1" applyAlignment="1">
      <alignment horizontal="right"/>
    </xf>
    <xf numFmtId="43" fontId="24" fillId="0" borderId="1" xfId="3" applyFont="1" applyBorder="1"/>
    <xf numFmtId="9" fontId="20" fillId="0" borderId="1" xfId="11" applyFont="1" applyBorder="1"/>
    <xf numFmtId="43" fontId="20" fillId="0" borderId="1" xfId="3" applyFont="1" applyBorder="1"/>
    <xf numFmtId="49" fontId="17" fillId="0" borderId="0" xfId="9" quotePrefix="1" applyNumberFormat="1" applyFont="1" applyAlignment="1">
      <alignment horizontal="left"/>
    </xf>
    <xf numFmtId="0" fontId="18" fillId="0" borderId="0" xfId="7" quotePrefix="1" applyFont="1" applyAlignment="1">
      <alignment horizontal="left"/>
    </xf>
    <xf numFmtId="0" fontId="32" fillId="0" borderId="0" xfId="9" quotePrefix="1" applyFont="1" applyAlignment="1">
      <alignment horizontal="left"/>
    </xf>
    <xf numFmtId="43" fontId="32" fillId="0" borderId="5" xfId="1" applyFont="1" applyBorder="1"/>
    <xf numFmtId="43" fontId="18" fillId="0" borderId="0" xfId="1" quotePrefix="1" applyFont="1" applyBorder="1" applyAlignment="1"/>
    <xf numFmtId="43" fontId="32" fillId="0" borderId="0" xfId="1" applyFont="1" applyBorder="1"/>
    <xf numFmtId="41" fontId="32" fillId="0" borderId="5" xfId="1" applyNumberFormat="1" applyFont="1" applyBorder="1"/>
    <xf numFmtId="41" fontId="32" fillId="0" borderId="0" xfId="1" applyNumberFormat="1" applyFont="1" applyBorder="1"/>
    <xf numFmtId="41" fontId="32" fillId="0" borderId="1" xfId="1" applyNumberFormat="1" applyFont="1" applyBorder="1"/>
    <xf numFmtId="0" fontId="26" fillId="0" borderId="5" xfId="9" applyFont="1" applyBorder="1" applyAlignment="1">
      <alignment horizontal="right"/>
    </xf>
    <xf numFmtId="0" fontId="32" fillId="0" borderId="5" xfId="9" applyFont="1" applyBorder="1"/>
    <xf numFmtId="43" fontId="24" fillId="0" borderId="0" xfId="3" applyFont="1" applyBorder="1"/>
    <xf numFmtId="43" fontId="31" fillId="0" borderId="0" xfId="1" applyFont="1"/>
    <xf numFmtId="0" fontId="32" fillId="0" borderId="0" xfId="9" quotePrefix="1" applyFont="1" applyAlignment="1">
      <alignment horizontal="left" indent="1"/>
    </xf>
    <xf numFmtId="0" fontId="31" fillId="0" borderId="0" xfId="9" quotePrefix="1" applyFont="1" applyAlignment="1">
      <alignment horizontal="left"/>
    </xf>
    <xf numFmtId="43" fontId="31" fillId="0" borderId="0" xfId="1" applyFont="1" applyBorder="1"/>
    <xf numFmtId="43" fontId="18" fillId="0" borderId="6" xfId="1" applyFont="1" applyFill="1" applyBorder="1" applyAlignment="1"/>
    <xf numFmtId="0" fontId="21" fillId="0" borderId="0" xfId="0" applyFont="1"/>
    <xf numFmtId="0" fontId="21" fillId="0" borderId="0" xfId="0" applyFont="1" applyAlignment="1">
      <alignment horizontal="left"/>
    </xf>
    <xf numFmtId="1" fontId="21" fillId="0" borderId="0" xfId="0" applyNumberFormat="1" applyFont="1" applyAlignment="1">
      <alignment horizontal="center"/>
    </xf>
    <xf numFmtId="0" fontId="21" fillId="0" borderId="0" xfId="0" applyFont="1" applyAlignment="1">
      <alignment horizontal="center"/>
    </xf>
    <xf numFmtId="1" fontId="22" fillId="0" borderId="4" xfId="0" applyNumberFormat="1" applyFont="1" applyBorder="1" applyAlignment="1">
      <alignment horizontal="center"/>
    </xf>
    <xf numFmtId="0" fontId="22" fillId="0" borderId="10" xfId="0" applyFont="1" applyBorder="1" applyAlignment="1">
      <alignment horizontal="center"/>
    </xf>
    <xf numFmtId="0" fontId="22" fillId="0" borderId="0" xfId="0" applyFont="1" applyAlignment="1">
      <alignment horizontal="center"/>
    </xf>
    <xf numFmtId="1" fontId="21" fillId="0" borderId="0" xfId="7" applyNumberFormat="1" applyFont="1" applyAlignment="1">
      <alignment horizontal="center"/>
    </xf>
    <xf numFmtId="0" fontId="21" fillId="0" borderId="0" xfId="0" quotePrefix="1" applyFont="1"/>
    <xf numFmtId="43" fontId="21" fillId="0" borderId="0" xfId="7" applyNumberFormat="1" applyFont="1"/>
    <xf numFmtId="0" fontId="22" fillId="4" borderId="0" xfId="0" applyFont="1" applyFill="1" applyAlignment="1">
      <alignment horizontal="center"/>
    </xf>
    <xf numFmtId="1" fontId="21" fillId="4" borderId="0" xfId="7" applyNumberFormat="1" applyFont="1" applyFill="1" applyAlignment="1">
      <alignment horizontal="center"/>
    </xf>
    <xf numFmtId="43" fontId="21" fillId="4" borderId="0" xfId="7" applyNumberFormat="1" applyFont="1" applyFill="1"/>
    <xf numFmtId="43" fontId="21" fillId="0" borderId="0" xfId="0" applyNumberFormat="1" applyFont="1"/>
    <xf numFmtId="43" fontId="21" fillId="0" borderId="9" xfId="0" applyNumberFormat="1" applyFont="1" applyBorder="1"/>
    <xf numFmtId="49" fontId="22" fillId="0" borderId="0" xfId="2" quotePrefix="1" applyNumberFormat="1" applyFont="1" applyAlignment="1">
      <alignment horizontal="left"/>
    </xf>
    <xf numFmtId="0" fontId="22" fillId="0" borderId="0" xfId="7" applyFont="1"/>
    <xf numFmtId="49" fontId="22" fillId="0" borderId="0" xfId="7" applyNumberFormat="1" applyFont="1" applyAlignment="1">
      <alignment horizontal="left"/>
    </xf>
    <xf numFmtId="49" fontId="22" fillId="0" borderId="0" xfId="2" applyNumberFormat="1" applyFont="1" applyAlignment="1">
      <alignment horizontal="left"/>
    </xf>
    <xf numFmtId="49" fontId="22" fillId="0" borderId="4" xfId="7" quotePrefix="1" applyNumberFormat="1" applyFont="1" applyBorder="1" applyAlignment="1">
      <alignment horizontal="center"/>
    </xf>
    <xf numFmtId="0" fontId="22" fillId="0" borderId="4" xfId="7" quotePrefix="1" applyFont="1" applyBorder="1" applyAlignment="1">
      <alignment horizontal="center"/>
    </xf>
    <xf numFmtId="49" fontId="33" fillId="0" borderId="0" xfId="7" quotePrefix="1" applyNumberFormat="1" applyFont="1" applyAlignment="1">
      <alignment horizontal="center" vertical="center"/>
    </xf>
    <xf numFmtId="177" fontId="33" fillId="0" borderId="0" xfId="7" quotePrefix="1" applyNumberFormat="1" applyFont="1" applyAlignment="1">
      <alignment horizontal="left"/>
    </xf>
    <xf numFmtId="177" fontId="33" fillId="0" borderId="0" xfId="7" applyNumberFormat="1" applyFont="1"/>
    <xf numFmtId="0" fontId="21" fillId="0" borderId="0" xfId="7" applyFont="1"/>
    <xf numFmtId="49" fontId="33" fillId="0" borderId="0" xfId="7" applyNumberFormat="1" applyFont="1" applyAlignment="1">
      <alignment horizontal="center" vertical="center"/>
    </xf>
    <xf numFmtId="0" fontId="21" fillId="0" borderId="0" xfId="7" quotePrefix="1" applyFont="1" applyAlignment="1">
      <alignment horizontal="left"/>
    </xf>
    <xf numFmtId="176" fontId="21" fillId="0" borderId="0" xfId="0" applyNumberFormat="1" applyFont="1"/>
    <xf numFmtId="1" fontId="22" fillId="0" borderId="0" xfId="0" quotePrefix="1" applyNumberFormat="1" applyFont="1"/>
    <xf numFmtId="1" fontId="21" fillId="0" borderId="0" xfId="0" applyNumberFormat="1" applyFont="1"/>
    <xf numFmtId="1" fontId="21" fillId="0" borderId="0" xfId="7" applyNumberFormat="1" applyFont="1"/>
    <xf numFmtId="1" fontId="21" fillId="4" borderId="0" xfId="7" applyNumberFormat="1" applyFont="1" applyFill="1"/>
    <xf numFmtId="1" fontId="22" fillId="0" borderId="10" xfId="0" applyNumberFormat="1" applyFont="1" applyBorder="1" applyAlignment="1">
      <alignment horizontal="center"/>
    </xf>
    <xf numFmtId="7" fontId="20" fillId="0" borderId="0" xfId="0" applyNumberFormat="1" applyFont="1" applyAlignment="1">
      <alignment horizontal="left"/>
    </xf>
    <xf numFmtId="169" fontId="20" fillId="0" borderId="0" xfId="0" applyNumberFormat="1" applyFont="1" applyAlignment="1">
      <alignment horizontal="center"/>
    </xf>
    <xf numFmtId="7" fontId="18" fillId="0" borderId="0" xfId="0" applyNumberFormat="1" applyFont="1"/>
    <xf numFmtId="7" fontId="18" fillId="0" borderId="1" xfId="0" applyNumberFormat="1" applyFont="1" applyBorder="1"/>
    <xf numFmtId="4" fontId="18" fillId="0" borderId="2" xfId="0" applyNumberFormat="1" applyFont="1" applyBorder="1"/>
    <xf numFmtId="4" fontId="19" fillId="0" borderId="2" xfId="0" applyNumberFormat="1" applyFont="1" applyBorder="1" applyAlignment="1">
      <alignment horizontal="left"/>
    </xf>
    <xf numFmtId="4" fontId="19" fillId="0" borderId="2" xfId="0" applyNumberFormat="1" applyFont="1" applyBorder="1"/>
    <xf numFmtId="1" fontId="21" fillId="4" borderId="0" xfId="7" applyNumberFormat="1" applyFont="1" applyFill="1" applyAlignment="1">
      <alignment horizontal="left" indent="1"/>
    </xf>
    <xf numFmtId="0" fontId="22" fillId="0" borderId="0" xfId="0" quotePrefix="1" applyFont="1" applyAlignment="1">
      <alignment horizontal="center"/>
    </xf>
    <xf numFmtId="1" fontId="21" fillId="0" borderId="0" xfId="7" applyNumberFormat="1" applyFont="1" applyAlignment="1">
      <alignment horizontal="left" indent="1"/>
    </xf>
    <xf numFmtId="0" fontId="21" fillId="0" borderId="0" xfId="0" quotePrefix="1" applyFont="1" applyAlignment="1">
      <alignment horizontal="left" indent="1"/>
    </xf>
    <xf numFmtId="0" fontId="21" fillId="4" borderId="0" xfId="0" quotePrefix="1" applyFont="1" applyFill="1" applyAlignment="1">
      <alignment horizontal="left" indent="1"/>
    </xf>
    <xf numFmtId="0" fontId="22" fillId="0" borderId="4" xfId="0" applyFont="1" applyBorder="1" applyAlignment="1">
      <alignment horizontal="center"/>
    </xf>
    <xf numFmtId="4" fontId="19" fillId="0" borderId="0" xfId="0" applyNumberFormat="1" applyFont="1" applyAlignment="1">
      <alignment horizontal="left"/>
    </xf>
    <xf numFmtId="4" fontId="18" fillId="0" borderId="2" xfId="0" applyNumberFormat="1" applyFont="1" applyBorder="1" applyAlignment="1">
      <alignment horizontal="left"/>
    </xf>
    <xf numFmtId="43" fontId="18" fillId="0" borderId="0" xfId="0" applyNumberFormat="1" applyFont="1"/>
    <xf numFmtId="1" fontId="34" fillId="0" borderId="0" xfId="0" quotePrefix="1" applyNumberFormat="1" applyFont="1" applyAlignment="1">
      <alignment horizontal="left"/>
    </xf>
    <xf numFmtId="43" fontId="21" fillId="0" borderId="0" xfId="1" applyFont="1"/>
    <xf numFmtId="43" fontId="22" fillId="0" borderId="0" xfId="1" quotePrefix="1" applyFont="1" applyFill="1" applyBorder="1" applyAlignment="1">
      <alignment horizontal="center"/>
    </xf>
    <xf numFmtId="43" fontId="21" fillId="0" borderId="0" xfId="1" applyFont="1" applyFill="1" applyBorder="1" applyAlignment="1"/>
    <xf numFmtId="0" fontId="21" fillId="0" borderId="0" xfId="0" quotePrefix="1" applyFont="1" applyAlignment="1">
      <alignment horizontal="left"/>
    </xf>
    <xf numFmtId="0" fontId="21" fillId="0" borderId="0" xfId="0" quotePrefix="1" applyFont="1" applyAlignment="1">
      <alignment horizontal="center"/>
    </xf>
    <xf numFmtId="0" fontId="22" fillId="0" borderId="0" xfId="0" quotePrefix="1" applyFont="1" applyAlignment="1">
      <alignment vertical="center"/>
    </xf>
    <xf numFmtId="41" fontId="26" fillId="0" borderId="0" xfId="1" applyNumberFormat="1" applyFont="1" applyFill="1" applyBorder="1"/>
    <xf numFmtId="43" fontId="26" fillId="0" borderId="1" xfId="1" quotePrefix="1" applyFont="1" applyBorder="1" applyAlignment="1"/>
    <xf numFmtId="43" fontId="30" fillId="0" borderId="0" xfId="9" applyNumberFormat="1" applyFont="1"/>
    <xf numFmtId="43" fontId="30" fillId="0" borderId="1" xfId="9" applyNumberFormat="1" applyFont="1" applyBorder="1"/>
    <xf numFmtId="0" fontId="20" fillId="0" borderId="0" xfId="0" quotePrefix="1" applyFont="1" applyAlignment="1">
      <alignment horizontal="left"/>
    </xf>
    <xf numFmtId="43" fontId="26" fillId="0" borderId="1" xfId="1" applyFont="1" applyBorder="1"/>
    <xf numFmtId="16" fontId="18" fillId="0" borderId="0" xfId="0" applyNumberFormat="1" applyFont="1"/>
    <xf numFmtId="0" fontId="22" fillId="0" borderId="0" xfId="0" applyFont="1"/>
    <xf numFmtId="0" fontId="22" fillId="0" borderId="0" xfId="0" quotePrefix="1" applyFont="1" applyAlignment="1">
      <alignment horizontal="left" indent="4"/>
    </xf>
    <xf numFmtId="0" fontId="26" fillId="0" borderId="0" xfId="0" quotePrefix="1" applyFont="1" applyAlignment="1">
      <alignment horizontal="left"/>
    </xf>
    <xf numFmtId="0" fontId="26" fillId="0" borderId="0" xfId="0" applyFont="1"/>
    <xf numFmtId="0" fontId="26" fillId="0" borderId="0" xfId="0" quotePrefix="1" applyFont="1" applyAlignment="1">
      <alignment horizontal="left" indent="4"/>
    </xf>
    <xf numFmtId="0" fontId="18" fillId="4" borderId="4" xfId="0" applyFont="1" applyFill="1" applyBorder="1" applyAlignment="1">
      <alignment horizontal="left"/>
    </xf>
    <xf numFmtId="0" fontId="18" fillId="4" borderId="4" xfId="0" applyFont="1" applyFill="1" applyBorder="1" applyAlignment="1">
      <alignment horizontal="center"/>
    </xf>
    <xf numFmtId="0" fontId="32" fillId="0" borderId="0" xfId="9" quotePrefix="1" applyFont="1" applyAlignment="1">
      <alignment horizontal="right"/>
    </xf>
    <xf numFmtId="43" fontId="35" fillId="0" borderId="0" xfId="1" applyFont="1"/>
    <xf numFmtId="0" fontId="35" fillId="0" borderId="0" xfId="0" applyFont="1"/>
    <xf numFmtId="1" fontId="21" fillId="0" borderId="0" xfId="7" quotePrefix="1" applyNumberFormat="1" applyFont="1" applyAlignment="1">
      <alignment horizontal="left"/>
    </xf>
    <xf numFmtId="1" fontId="21" fillId="4" borderId="0" xfId="7" quotePrefix="1" applyNumberFormat="1" applyFont="1" applyFill="1" applyAlignment="1">
      <alignment horizontal="left"/>
    </xf>
    <xf numFmtId="1" fontId="21" fillId="0" borderId="0" xfId="2" applyNumberFormat="1" applyFont="1" applyFill="1" applyBorder="1" applyAlignment="1">
      <alignment horizontal="center"/>
    </xf>
    <xf numFmtId="1" fontId="21" fillId="0" borderId="0" xfId="2" applyNumberFormat="1" applyFont="1" applyFill="1" applyBorder="1" applyAlignment="1"/>
    <xf numFmtId="1" fontId="21" fillId="0" borderId="0" xfId="2" quotePrefix="1" applyNumberFormat="1" applyFont="1" applyFill="1" applyBorder="1" applyAlignment="1">
      <alignment horizontal="left"/>
    </xf>
    <xf numFmtId="43" fontId="18" fillId="0" borderId="0" xfId="1" applyFont="1" applyBorder="1" applyAlignment="1">
      <alignment horizontal="center"/>
    </xf>
    <xf numFmtId="43" fontId="26" fillId="0" borderId="0" xfId="1" applyFont="1" applyBorder="1"/>
    <xf numFmtId="43" fontId="18" fillId="5" borderId="9" xfId="1" applyFont="1" applyFill="1" applyBorder="1" applyAlignment="1"/>
    <xf numFmtId="0" fontId="21" fillId="0" borderId="0" xfId="0" quotePrefix="1" applyFont="1" applyAlignment="1">
      <alignment horizontal="right"/>
    </xf>
    <xf numFmtId="43" fontId="22" fillId="0" borderId="4" xfId="1" quotePrefix="1" applyFont="1" applyFill="1" applyBorder="1" applyAlignment="1">
      <alignment horizontal="center"/>
    </xf>
    <xf numFmtId="43" fontId="26" fillId="0" borderId="1" xfId="1" applyFont="1" applyBorder="1" applyAlignment="1"/>
    <xf numFmtId="37" fontId="26" fillId="0" borderId="1" xfId="1" applyNumberFormat="1" applyFont="1" applyBorder="1" applyAlignment="1"/>
    <xf numFmtId="37" fontId="26" fillId="0" borderId="1" xfId="1" applyNumberFormat="1" applyFont="1" applyBorder="1" applyAlignment="1">
      <alignment horizontal="center"/>
    </xf>
    <xf numFmtId="37" fontId="26" fillId="0" borderId="0" xfId="1" applyNumberFormat="1" applyFont="1"/>
    <xf numFmtId="41" fontId="26" fillId="0" borderId="0" xfId="1" applyNumberFormat="1" applyFont="1" applyFill="1" applyBorder="1" applyAlignment="1"/>
    <xf numFmtId="49" fontId="21" fillId="0" borderId="0" xfId="0" quotePrefix="1" applyNumberFormat="1" applyFont="1" applyAlignment="1">
      <alignment horizontal="left" indent="1"/>
    </xf>
    <xf numFmtId="49" fontId="21" fillId="4" borderId="0" xfId="0" quotePrefix="1" applyNumberFormat="1" applyFont="1" applyFill="1"/>
    <xf numFmtId="49" fontId="21" fillId="4" borderId="0" xfId="0" quotePrefix="1" applyNumberFormat="1" applyFont="1" applyFill="1" applyAlignment="1">
      <alignment horizontal="left" indent="1"/>
    </xf>
    <xf numFmtId="49" fontId="21" fillId="4" borderId="0" xfId="7" applyNumberFormat="1" applyFont="1" applyFill="1" applyAlignment="1">
      <alignment horizontal="left" indent="1"/>
    </xf>
    <xf numFmtId="49" fontId="21" fillId="0" borderId="0" xfId="0" applyNumberFormat="1" applyFont="1"/>
    <xf numFmtId="0" fontId="18" fillId="0" borderId="0" xfId="0" quotePrefix="1" applyFont="1" applyAlignment="1">
      <alignment horizontal="left" indent="1"/>
    </xf>
    <xf numFmtId="49" fontId="26" fillId="0" borderId="0" xfId="7" applyNumberFormat="1" applyFont="1"/>
    <xf numFmtId="0" fontId="21" fillId="0" borderId="0" xfId="0" applyFont="1" applyAlignment="1">
      <alignment horizontal="right"/>
    </xf>
    <xf numFmtId="0" fontId="22" fillId="0" borderId="0" xfId="0" quotePrefix="1" applyFont="1" applyAlignment="1">
      <alignment horizontal="left" vertical="top"/>
    </xf>
    <xf numFmtId="0" fontId="17" fillId="0" borderId="0" xfId="0" quotePrefix="1" applyFont="1"/>
    <xf numFmtId="169" fontId="20" fillId="6" borderId="0" xfId="0" applyNumberFormat="1" applyFont="1" applyFill="1" applyAlignment="1">
      <alignment horizontal="center"/>
    </xf>
    <xf numFmtId="4" fontId="26" fillId="6" borderId="1" xfId="0" applyNumberFormat="1" applyFont="1" applyFill="1" applyBorder="1" applyAlignment="1">
      <alignment horizontal="center"/>
    </xf>
    <xf numFmtId="43" fontId="26" fillId="6" borderId="1" xfId="1" applyFont="1" applyFill="1" applyBorder="1" applyAlignment="1"/>
    <xf numFmtId="41" fontId="26" fillId="6" borderId="0" xfId="1" applyNumberFormat="1" applyFont="1" applyFill="1" applyBorder="1" applyAlignment="1"/>
    <xf numFmtId="175" fontId="26" fillId="6" borderId="0" xfId="0" applyNumberFormat="1" applyFont="1" applyFill="1"/>
    <xf numFmtId="38" fontId="26" fillId="6" borderId="0" xfId="0" quotePrefix="1" applyNumberFormat="1" applyFont="1" applyFill="1"/>
    <xf numFmtId="0" fontId="36" fillId="0" borderId="0" xfId="0" applyFont="1"/>
    <xf numFmtId="0" fontId="26" fillId="3" borderId="0" xfId="0" quotePrefix="1" applyFont="1" applyFill="1" applyAlignment="1">
      <alignment horizontal="left"/>
    </xf>
    <xf numFmtId="0" fontId="26" fillId="3" borderId="0" xfId="0" applyFont="1" applyFill="1"/>
    <xf numFmtId="16" fontId="21" fillId="0" borderId="0" xfId="0" applyNumberFormat="1" applyFont="1"/>
    <xf numFmtId="43" fontId="35" fillId="0" borderId="0" xfId="1" applyFont="1" applyFill="1"/>
    <xf numFmtId="43" fontId="21" fillId="0" borderId="0" xfId="1" applyFont="1" applyFill="1"/>
    <xf numFmtId="7" fontId="20" fillId="6" borderId="0" xfId="0" applyNumberFormat="1" applyFont="1" applyFill="1" applyAlignment="1">
      <alignment horizontal="left"/>
    </xf>
    <xf numFmtId="4" fontId="18" fillId="6" borderId="1" xfId="0" applyNumberFormat="1" applyFont="1" applyFill="1" applyBorder="1" applyAlignment="1">
      <alignment horizontal="center"/>
    </xf>
    <xf numFmtId="43" fontId="18" fillId="6" borderId="1" xfId="1" applyFont="1" applyFill="1" applyBorder="1" applyAlignment="1"/>
    <xf numFmtId="41" fontId="18" fillId="6" borderId="0" xfId="1" applyNumberFormat="1" applyFont="1" applyFill="1" applyBorder="1" applyAlignment="1"/>
    <xf numFmtId="4" fontId="18" fillId="6" borderId="0" xfId="0" applyNumberFormat="1" applyFont="1" applyFill="1" applyAlignment="1">
      <alignment horizontal="center"/>
    </xf>
    <xf numFmtId="38" fontId="18" fillId="6" borderId="0" xfId="0" quotePrefix="1" applyNumberFormat="1" applyFont="1" applyFill="1"/>
    <xf numFmtId="164" fontId="18" fillId="0" borderId="0" xfId="6" quotePrefix="1" applyFont="1" applyBorder="1" applyAlignment="1">
      <alignment horizontal="center" wrapText="1"/>
    </xf>
    <xf numFmtId="3" fontId="18" fillId="2" borderId="0" xfId="0" quotePrefix="1" applyNumberFormat="1" applyFont="1" applyFill="1"/>
    <xf numFmtId="0" fontId="14" fillId="0" borderId="0" xfId="0" quotePrefix="1" applyFont="1" applyAlignment="1">
      <alignment horizontal="left"/>
    </xf>
    <xf numFmtId="0" fontId="37" fillId="0" borderId="0" xfId="0" applyFont="1"/>
    <xf numFmtId="0" fontId="18" fillId="7" borderId="0" xfId="0" applyFont="1" applyFill="1"/>
    <xf numFmtId="0" fontId="18" fillId="7" borderId="0" xfId="0" applyFont="1" applyFill="1" applyAlignment="1">
      <alignment horizontal="left"/>
    </xf>
    <xf numFmtId="0" fontId="24" fillId="7" borderId="0" xfId="0" applyFont="1" applyFill="1"/>
    <xf numFmtId="43" fontId="18" fillId="7" borderId="0" xfId="1" applyFont="1" applyFill="1" applyBorder="1" applyAlignment="1"/>
    <xf numFmtId="1" fontId="21" fillId="0" borderId="0" xfId="2" quotePrefix="1" applyNumberFormat="1" applyFont="1" applyFill="1" applyBorder="1" applyAlignment="1">
      <alignment horizontal="center"/>
    </xf>
    <xf numFmtId="1" fontId="21" fillId="0" borderId="0" xfId="2" quotePrefix="1" applyNumberFormat="1" applyFont="1" applyFill="1" applyBorder="1" applyAlignment="1"/>
    <xf numFmtId="49" fontId="21" fillId="0" borderId="0" xfId="7" applyNumberFormat="1" applyFont="1"/>
    <xf numFmtId="49" fontId="21" fillId="4" borderId="0" xfId="7" quotePrefix="1" applyNumberFormat="1" applyFont="1" applyFill="1" applyAlignment="1">
      <alignment horizontal="left" indent="1"/>
    </xf>
    <xf numFmtId="0" fontId="22" fillId="0" borderId="12" xfId="0" applyFont="1" applyBorder="1" applyAlignment="1">
      <alignment horizontal="center"/>
    </xf>
    <xf numFmtId="0" fontId="22" fillId="0" borderId="13" xfId="0" applyFont="1" applyBorder="1" applyAlignment="1">
      <alignment horizontal="center"/>
    </xf>
    <xf numFmtId="0" fontId="22" fillId="0" borderId="14" xfId="0" applyFont="1" applyBorder="1" applyAlignment="1">
      <alignment horizontal="center"/>
    </xf>
    <xf numFmtId="0" fontId="22" fillId="0" borderId="4" xfId="0" quotePrefix="1" applyFont="1" applyBorder="1" applyAlignment="1">
      <alignment horizontal="center"/>
    </xf>
    <xf numFmtId="1" fontId="21" fillId="0" borderId="0" xfId="8" applyNumberFormat="1" applyFont="1" applyAlignment="1">
      <alignment horizontal="center"/>
    </xf>
    <xf numFmtId="1" fontId="21" fillId="0" borderId="0" xfId="8" applyNumberFormat="1" applyFont="1"/>
    <xf numFmtId="10" fontId="21" fillId="0" borderId="0" xfId="10" applyNumberFormat="1" applyFont="1"/>
    <xf numFmtId="1" fontId="21" fillId="0" borderId="0" xfId="8" quotePrefix="1" applyNumberFormat="1" applyFont="1" applyAlignment="1">
      <alignment horizontal="left"/>
    </xf>
    <xf numFmtId="9" fontId="19" fillId="0" borderId="0" xfId="11" quotePrefix="1" applyFont="1" applyAlignment="1">
      <alignment horizontal="left"/>
    </xf>
    <xf numFmtId="9" fontId="22" fillId="0" borderId="12" xfId="0" applyNumberFormat="1" applyFont="1" applyBorder="1" applyAlignment="1">
      <alignment horizontal="center"/>
    </xf>
    <xf numFmtId="43" fontId="21" fillId="0" borderId="1" xfId="0" applyNumberFormat="1" applyFont="1" applyBorder="1"/>
    <xf numFmtId="43" fontId="21" fillId="0" borderId="8" xfId="0" applyNumberFormat="1" applyFont="1" applyBorder="1"/>
    <xf numFmtId="43" fontId="21" fillId="0" borderId="4" xfId="1" applyFont="1" applyBorder="1" applyAlignment="1">
      <alignment horizontal="center"/>
    </xf>
    <xf numFmtId="10" fontId="21" fillId="0" borderId="15" xfId="10" applyNumberFormat="1" applyFont="1" applyBorder="1"/>
    <xf numFmtId="43" fontId="21" fillId="0" borderId="15" xfId="0" applyNumberFormat="1" applyFont="1" applyBorder="1"/>
    <xf numFmtId="43" fontId="21" fillId="0" borderId="15" xfId="1" applyFont="1" applyBorder="1"/>
    <xf numFmtId="0" fontId="37" fillId="0" borderId="3" xfId="0" quotePrefix="1" applyFont="1" applyBorder="1" applyAlignment="1">
      <alignment horizontal="center"/>
    </xf>
    <xf numFmtId="0" fontId="38" fillId="0" borderId="0" xfId="0" quotePrefix="1" applyFont="1" applyAlignment="1">
      <alignment horizontal="left"/>
    </xf>
    <xf numFmtId="16" fontId="35" fillId="0" borderId="0" xfId="0" applyNumberFormat="1" applyFont="1"/>
    <xf numFmtId="0" fontId="14" fillId="0" borderId="0" xfId="0" quotePrefix="1" applyFont="1" applyAlignment="1">
      <alignment horizontal="left" indent="1"/>
    </xf>
    <xf numFmtId="0" fontId="22" fillId="0" borderId="0" xfId="0" quotePrefix="1" applyFont="1" applyAlignment="1" applyProtection="1">
      <alignment horizontal="left"/>
      <protection locked="0"/>
    </xf>
    <xf numFmtId="170" fontId="18" fillId="0" borderId="0" xfId="6" quotePrefix="1" applyNumberFormat="1" applyFont="1" applyBorder="1" applyAlignment="1">
      <alignment horizontal="center"/>
    </xf>
    <xf numFmtId="0" fontId="38" fillId="0" borderId="0" xfId="0" quotePrefix="1" applyFont="1" applyAlignment="1">
      <alignment horizontal="left" indent="2"/>
    </xf>
    <xf numFmtId="16" fontId="18" fillId="0" borderId="0" xfId="0" applyNumberFormat="1" applyFont="1" applyAlignment="1">
      <alignment vertical="center"/>
    </xf>
    <xf numFmtId="0" fontId="24" fillId="0" borderId="1" xfId="0" quotePrefix="1" applyFont="1" applyBorder="1" applyAlignment="1">
      <alignment horizontal="center"/>
    </xf>
    <xf numFmtId="164" fontId="26" fillId="0" borderId="0" xfId="6" quotePrefix="1" applyFont="1" applyBorder="1" applyAlignment="1">
      <alignment horizontal="center" wrapText="1"/>
    </xf>
    <xf numFmtId="14" fontId="24" fillId="0" borderId="1" xfId="0" quotePrefix="1" applyNumberFormat="1" applyFont="1" applyBorder="1" applyAlignment="1">
      <alignment horizontal="center"/>
    </xf>
    <xf numFmtId="43" fontId="35" fillId="4" borderId="0" xfId="1" applyFont="1" applyFill="1" applyBorder="1" applyAlignment="1"/>
    <xf numFmtId="43" fontId="35" fillId="0" borderId="0" xfId="1" applyFont="1" applyFill="1" applyBorder="1" applyAlignment="1"/>
    <xf numFmtId="43" fontId="35" fillId="0" borderId="0" xfId="1" applyFont="1" applyFill="1" applyAlignment="1"/>
    <xf numFmtId="43" fontId="35" fillId="0" borderId="0" xfId="1" applyFont="1" applyFill="1" applyBorder="1"/>
    <xf numFmtId="0" fontId="21" fillId="4" borderId="0" xfId="0" applyFont="1" applyFill="1" applyAlignment="1">
      <alignment horizontal="center"/>
    </xf>
    <xf numFmtId="0" fontId="21" fillId="0" borderId="0" xfId="0" quotePrefix="1" applyFont="1" applyAlignment="1">
      <alignment horizontal="left" vertical="top"/>
    </xf>
    <xf numFmtId="17" fontId="24" fillId="0" borderId="0" xfId="0" quotePrefix="1" applyNumberFormat="1" applyFont="1" applyAlignment="1">
      <alignment horizontal="center"/>
    </xf>
    <xf numFmtId="7" fontId="21" fillId="0" borderId="0" xfId="0" quotePrefix="1" applyNumberFormat="1" applyFont="1" applyAlignment="1">
      <alignment horizontal="center"/>
    </xf>
    <xf numFmtId="0" fontId="38" fillId="2" borderId="16" xfId="0" quotePrefix="1" applyFont="1" applyFill="1" applyBorder="1" applyAlignment="1">
      <alignment horizontal="left" indent="1"/>
    </xf>
    <xf numFmtId="0" fontId="14" fillId="2" borderId="16" xfId="0" quotePrefix="1" applyFont="1" applyFill="1" applyBorder="1" applyAlignment="1">
      <alignment horizontal="left" indent="1"/>
    </xf>
    <xf numFmtId="0" fontId="38" fillId="2" borderId="16" xfId="0" quotePrefix="1" applyFont="1" applyFill="1" applyBorder="1" applyAlignment="1">
      <alignment horizontal="left"/>
    </xf>
    <xf numFmtId="0" fontId="21" fillId="0" borderId="0" xfId="0" quotePrefix="1" applyFont="1" applyAlignment="1">
      <alignment horizontal="left" vertical="center" indent="1"/>
    </xf>
    <xf numFmtId="49" fontId="21" fillId="0" borderId="0" xfId="7" quotePrefix="1" applyNumberFormat="1" applyFont="1" applyAlignment="1">
      <alignment horizontal="left" indent="1"/>
    </xf>
    <xf numFmtId="0" fontId="36" fillId="0" borderId="0" xfId="0" applyFont="1" applyAlignment="1">
      <alignment horizontal="left"/>
    </xf>
    <xf numFmtId="0" fontId="22" fillId="0" borderId="0" xfId="0" applyFont="1" applyAlignment="1">
      <alignment vertical="center" wrapText="1"/>
    </xf>
    <xf numFmtId="0" fontId="22" fillId="0" borderId="0" xfId="0" quotePrefix="1" applyFont="1" applyAlignment="1" applyProtection="1">
      <alignment horizontal="left" vertical="center"/>
      <protection locked="0"/>
    </xf>
    <xf numFmtId="0" fontId="22" fillId="0" borderId="0" xfId="0" applyFont="1" applyAlignment="1" applyProtection="1">
      <alignment vertical="center"/>
      <protection locked="0"/>
    </xf>
    <xf numFmtId="0" fontId="22" fillId="0" borderId="0" xfId="0" applyFont="1" applyAlignment="1">
      <alignment vertical="center"/>
    </xf>
    <xf numFmtId="0" fontId="22" fillId="0" borderId="0" xfId="0" quotePrefix="1" applyFont="1" applyAlignment="1">
      <alignment horizontal="left" vertical="center"/>
    </xf>
    <xf numFmtId="0" fontId="36" fillId="0" borderId="0" xfId="0" quotePrefix="1" applyFont="1" applyAlignment="1">
      <alignment horizontal="left" vertical="center"/>
    </xf>
    <xf numFmtId="0" fontId="36" fillId="0" borderId="0" xfId="0" applyFont="1" applyAlignment="1">
      <alignment vertical="center"/>
    </xf>
    <xf numFmtId="0" fontId="22" fillId="0" borderId="0" xfId="0" quotePrefix="1" applyFont="1" applyAlignment="1" applyProtection="1">
      <alignment horizontal="left" vertical="center" indent="2"/>
      <protection locked="0"/>
    </xf>
    <xf numFmtId="0" fontId="22" fillId="0" borderId="0" xfId="0" applyFont="1" applyAlignment="1">
      <alignment horizontal="left" vertical="center" indent="2"/>
    </xf>
    <xf numFmtId="0" fontId="22" fillId="0" borderId="0" xfId="0" quotePrefix="1" applyFont="1" applyAlignment="1">
      <alignment horizontal="left" vertical="center" indent="2"/>
    </xf>
    <xf numFmtId="0" fontId="36" fillId="0" borderId="0" xfId="0" quotePrefix="1" applyFont="1" applyAlignment="1">
      <alignment horizontal="left" vertical="center" indent="1"/>
    </xf>
    <xf numFmtId="0" fontId="39" fillId="0" borderId="0" xfId="0" applyFont="1"/>
    <xf numFmtId="0" fontId="39" fillId="0" borderId="0" xfId="0" applyFont="1" applyAlignment="1">
      <alignment vertical="center"/>
    </xf>
    <xf numFmtId="0" fontId="36" fillId="0" borderId="0" xfId="0" applyFont="1" applyAlignment="1">
      <alignment horizontal="left" vertical="center"/>
    </xf>
    <xf numFmtId="0" fontId="39" fillId="0" borderId="0" xfId="0" quotePrefix="1" applyFont="1" applyAlignment="1" applyProtection="1">
      <alignment horizontal="left" vertical="center"/>
      <protection locked="0"/>
    </xf>
    <xf numFmtId="0" fontId="39" fillId="0" borderId="0" xfId="0" quotePrefix="1" applyFont="1" applyAlignment="1" applyProtection="1">
      <alignment horizontal="left"/>
      <protection locked="0"/>
    </xf>
    <xf numFmtId="0" fontId="36" fillId="0" borderId="0" xfId="0" quotePrefix="1" applyFont="1" applyAlignment="1" applyProtection="1">
      <alignment horizontal="left"/>
      <protection locked="0"/>
    </xf>
    <xf numFmtId="0" fontId="36" fillId="0" borderId="0" xfId="0" quotePrefix="1" applyFont="1" applyAlignment="1" applyProtection="1">
      <alignment horizontal="left" indent="1"/>
      <protection locked="0"/>
    </xf>
    <xf numFmtId="0" fontId="36" fillId="0" borderId="0" xfId="0" quotePrefix="1" applyFont="1" applyAlignment="1" applyProtection="1">
      <alignment horizontal="left" vertical="center"/>
      <protection locked="0"/>
    </xf>
    <xf numFmtId="0" fontId="36" fillId="0" borderId="0" xfId="0" quotePrefix="1" applyFont="1" applyAlignment="1" applyProtection="1">
      <alignment horizontal="left" vertical="center" indent="1"/>
      <protection locked="0"/>
    </xf>
    <xf numFmtId="41" fontId="34" fillId="0" borderId="15" xfId="8" applyNumberFormat="1" applyFont="1" applyBorder="1" applyAlignment="1">
      <alignment horizontal="center"/>
    </xf>
    <xf numFmtId="41" fontId="34" fillId="0" borderId="15" xfId="8" quotePrefix="1" applyNumberFormat="1" applyFont="1" applyBorder="1" applyAlignment="1">
      <alignment horizontal="center"/>
    </xf>
    <xf numFmtId="41" fontId="34" fillId="0" borderId="15" xfId="2" quotePrefix="1" applyNumberFormat="1" applyFont="1" applyFill="1" applyBorder="1" applyAlignment="1">
      <alignment horizontal="center"/>
    </xf>
    <xf numFmtId="41" fontId="34" fillId="0" borderId="15" xfId="2" applyNumberFormat="1" applyFont="1" applyFill="1" applyBorder="1" applyAlignment="1">
      <alignment horizontal="center"/>
    </xf>
    <xf numFmtId="41" fontId="21" fillId="0" borderId="0" xfId="0" applyNumberFormat="1" applyFont="1" applyAlignment="1">
      <alignment horizontal="center"/>
    </xf>
    <xf numFmtId="1" fontId="21" fillId="0" borderId="0" xfId="7" quotePrefix="1" applyNumberFormat="1" applyFont="1" applyAlignment="1">
      <alignment horizontal="right"/>
    </xf>
    <xf numFmtId="43" fontId="21" fillId="0" borderId="0" xfId="7" applyNumberFormat="1" applyFont="1" applyAlignment="1">
      <alignment vertical="center"/>
    </xf>
    <xf numFmtId="164" fontId="18" fillId="2" borderId="0" xfId="6" quotePrefix="1" applyFont="1" applyFill="1" applyBorder="1" applyAlignment="1">
      <alignment horizontal="center" wrapText="1"/>
    </xf>
    <xf numFmtId="164" fontId="18" fillId="0" borderId="0" xfId="6" quotePrefix="1" applyFont="1" applyBorder="1" applyAlignment="1">
      <alignment horizontal="center"/>
    </xf>
    <xf numFmtId="16" fontId="22" fillId="0" borderId="0" xfId="0" applyNumberFormat="1" applyFont="1" applyAlignment="1">
      <alignment horizontal="left"/>
    </xf>
    <xf numFmtId="49" fontId="22" fillId="2" borderId="7" xfId="0" quotePrefix="1" applyNumberFormat="1" applyFont="1" applyFill="1" applyBorder="1" applyAlignment="1">
      <alignment horizontal="left"/>
    </xf>
    <xf numFmtId="49" fontId="37" fillId="2" borderId="0" xfId="0" quotePrefix="1" applyNumberFormat="1" applyFont="1" applyFill="1" applyAlignment="1">
      <alignment horizontal="center"/>
    </xf>
    <xf numFmtId="49" fontId="22" fillId="2" borderId="2" xfId="0" applyNumberFormat="1" applyFont="1" applyFill="1" applyBorder="1"/>
    <xf numFmtId="0" fontId="21" fillId="0" borderId="0" xfId="0" quotePrefix="1" applyFont="1" applyAlignment="1">
      <alignment vertical="center"/>
    </xf>
    <xf numFmtId="0" fontId="21" fillId="4" borderId="0" xfId="0" quotePrefix="1" applyFont="1" applyFill="1" applyAlignment="1">
      <alignment horizontal="left" vertical="center" indent="1"/>
    </xf>
    <xf numFmtId="0" fontId="40" fillId="2" borderId="16" xfId="0" applyFont="1" applyFill="1" applyBorder="1"/>
    <xf numFmtId="1" fontId="21" fillId="4" borderId="0" xfId="7" applyNumberFormat="1" applyFont="1" applyFill="1" applyAlignment="1">
      <alignment horizontal="right" indent="1"/>
    </xf>
    <xf numFmtId="1" fontId="21" fillId="0" borderId="0" xfId="7" quotePrefix="1" applyNumberFormat="1" applyFont="1" applyAlignment="1">
      <alignment horizontal="right" indent="1"/>
    </xf>
    <xf numFmtId="0" fontId="26" fillId="4" borderId="4" xfId="0" applyFont="1" applyFill="1" applyBorder="1" applyAlignment="1">
      <alignment horizontal="center"/>
    </xf>
    <xf numFmtId="1" fontId="21" fillId="4" borderId="0" xfId="2" applyNumberFormat="1" applyFont="1" applyFill="1" applyBorder="1" applyAlignment="1">
      <alignment horizontal="center"/>
    </xf>
    <xf numFmtId="1" fontId="21" fillId="4" borderId="0" xfId="2" quotePrefix="1" applyNumberFormat="1" applyFont="1" applyFill="1" applyBorder="1" applyAlignment="1">
      <alignment horizontal="left"/>
    </xf>
    <xf numFmtId="49" fontId="22" fillId="2" borderId="20" xfId="0" quotePrefix="1" applyNumberFormat="1" applyFont="1" applyFill="1" applyBorder="1" applyAlignment="1">
      <alignment horizontal="left" indent="1"/>
    </xf>
    <xf numFmtId="10" fontId="21" fillId="0" borderId="0" xfId="10" applyNumberFormat="1" applyFont="1" applyBorder="1"/>
    <xf numFmtId="0" fontId="22" fillId="0" borderId="14" xfId="0" quotePrefix="1" applyFont="1" applyBorder="1" applyAlignment="1">
      <alignment horizontal="center"/>
    </xf>
    <xf numFmtId="0" fontId="22" fillId="2" borderId="7" xfId="0" quotePrefix="1" applyFont="1" applyFill="1" applyBorder="1" applyAlignment="1">
      <alignment horizontal="left" indent="1"/>
    </xf>
    <xf numFmtId="0" fontId="18" fillId="2" borderId="0" xfId="0" quotePrefix="1" applyFont="1" applyFill="1" applyAlignment="1">
      <alignment horizontal="left"/>
    </xf>
    <xf numFmtId="0" fontId="20" fillId="2" borderId="0" xfId="0" applyFont="1" applyFill="1" applyAlignment="1">
      <alignment horizontal="left"/>
    </xf>
    <xf numFmtId="0" fontId="22" fillId="0" borderId="0" xfId="0" quotePrefix="1" applyFont="1" applyAlignment="1" applyProtection="1">
      <alignment horizontal="left" indent="2"/>
      <protection locked="0"/>
    </xf>
    <xf numFmtId="0" fontId="22" fillId="0" borderId="0" xfId="0" applyFont="1" applyProtection="1">
      <protection locked="0"/>
    </xf>
    <xf numFmtId="0" fontId="20" fillId="2" borderId="0" xfId="0" quotePrefix="1" applyFont="1" applyFill="1" applyAlignment="1">
      <alignment horizontal="left"/>
    </xf>
    <xf numFmtId="164" fontId="41" fillId="0" borderId="1" xfId="6" quotePrefix="1" applyFont="1" applyBorder="1" applyAlignment="1">
      <alignment horizontal="center"/>
    </xf>
    <xf numFmtId="0" fontId="46" fillId="0" borderId="0" xfId="0" applyFont="1" applyAlignment="1">
      <alignment horizontal="left" indent="2"/>
    </xf>
    <xf numFmtId="0" fontId="46" fillId="0" borderId="0" xfId="0" quotePrefix="1" applyFont="1" applyAlignment="1">
      <alignment horizontal="left" vertical="center" indent="2"/>
    </xf>
    <xf numFmtId="0" fontId="18" fillId="0" borderId="0" xfId="0" applyFont="1" applyAlignment="1">
      <alignment horizontal="left" vertical="center" indent="2"/>
    </xf>
    <xf numFmtId="169" fontId="23" fillId="0" borderId="0" xfId="0" applyNumberFormat="1" applyFont="1" applyAlignment="1">
      <alignment horizontal="left" vertical="center" indent="2"/>
    </xf>
    <xf numFmtId="2" fontId="18" fillId="0" borderId="0" xfId="0" applyNumberFormat="1" applyFont="1" applyAlignment="1">
      <alignment horizontal="left" vertical="center" indent="2"/>
    </xf>
    <xf numFmtId="43" fontId="18" fillId="0" borderId="0" xfId="1" applyFont="1" applyBorder="1" applyAlignment="1">
      <alignment horizontal="left" vertical="center" indent="2"/>
    </xf>
    <xf numFmtId="0" fontId="18" fillId="2" borderId="0" xfId="0" applyFont="1" applyFill="1" applyAlignment="1">
      <alignment horizontal="left" vertical="center" indent="2"/>
    </xf>
    <xf numFmtId="169" fontId="23" fillId="2" borderId="0" xfId="0" applyNumberFormat="1" applyFont="1" applyFill="1" applyAlignment="1">
      <alignment horizontal="left" vertical="center" indent="2"/>
    </xf>
    <xf numFmtId="2" fontId="18" fillId="2" borderId="0" xfId="0" applyNumberFormat="1" applyFont="1" applyFill="1" applyAlignment="1">
      <alignment horizontal="left" vertical="center" indent="2"/>
    </xf>
    <xf numFmtId="0" fontId="46" fillId="0" borderId="0" xfId="0" applyFont="1" applyAlignment="1">
      <alignment horizontal="left" vertical="top" indent="2"/>
    </xf>
    <xf numFmtId="0" fontId="18" fillId="0" borderId="0" xfId="0" quotePrefix="1" applyFont="1"/>
    <xf numFmtId="44" fontId="18" fillId="0" borderId="0" xfId="1" applyNumberFormat="1" applyFont="1" applyAlignment="1">
      <alignment horizontal="right"/>
    </xf>
    <xf numFmtId="10" fontId="18" fillId="0" borderId="0" xfId="10" applyNumberFormat="1" applyFont="1" applyAlignment="1">
      <alignment horizontal="center"/>
    </xf>
    <xf numFmtId="43" fontId="18" fillId="2" borderId="0" xfId="1" applyFont="1" applyFill="1" applyBorder="1" applyAlignment="1"/>
    <xf numFmtId="0" fontId="46" fillId="2" borderId="0" xfId="0" quotePrefix="1" applyFont="1" applyFill="1" applyAlignment="1">
      <alignment horizontal="left" vertical="center" indent="2"/>
    </xf>
    <xf numFmtId="43" fontId="18" fillId="2" borderId="0" xfId="1" applyFont="1" applyFill="1" applyBorder="1" applyAlignment="1">
      <alignment horizontal="left" vertical="center" indent="2"/>
    </xf>
    <xf numFmtId="0" fontId="46" fillId="2" borderId="0" xfId="0" quotePrefix="1" applyFont="1" applyFill="1" applyAlignment="1">
      <alignment horizontal="left" vertical="top" indent="2"/>
    </xf>
    <xf numFmtId="0" fontId="46" fillId="2" borderId="0" xfId="0" applyFont="1" applyFill="1" applyAlignment="1">
      <alignment horizontal="left" indent="2"/>
    </xf>
    <xf numFmtId="0" fontId="18" fillId="2" borderId="0" xfId="0" quotePrefix="1" applyFont="1" applyFill="1"/>
    <xf numFmtId="44" fontId="18" fillId="2" borderId="0" xfId="1" applyNumberFormat="1" applyFont="1" applyFill="1" applyAlignment="1">
      <alignment horizontal="right"/>
    </xf>
    <xf numFmtId="2" fontId="18" fillId="2" borderId="0" xfId="0" quotePrefix="1" applyNumberFormat="1" applyFont="1" applyFill="1" applyAlignment="1">
      <alignment horizontal="center"/>
    </xf>
    <xf numFmtId="10" fontId="18" fillId="2" borderId="0" xfId="10" applyNumberFormat="1" applyFont="1" applyFill="1" applyAlignment="1">
      <alignment horizontal="center"/>
    </xf>
    <xf numFmtId="43" fontId="18" fillId="2" borderId="5" xfId="1" applyFont="1" applyFill="1" applyBorder="1" applyAlignment="1"/>
    <xf numFmtId="0" fontId="46" fillId="2" borderId="0" xfId="0" applyFont="1" applyFill="1" applyAlignment="1">
      <alignment horizontal="left" vertical="top" indent="2"/>
    </xf>
    <xf numFmtId="181" fontId="23" fillId="0" borderId="1" xfId="1" applyNumberFormat="1" applyFont="1" applyBorder="1" applyAlignment="1">
      <alignment horizontal="center"/>
    </xf>
    <xf numFmtId="0" fontId="41" fillId="0" borderId="0" xfId="0" applyFont="1"/>
    <xf numFmtId="0" fontId="41" fillId="2" borderId="0" xfId="0" applyFont="1" applyFill="1"/>
    <xf numFmtId="0" fontId="41" fillId="2" borderId="0" xfId="0" quotePrefix="1" applyFont="1" applyFill="1" applyAlignment="1">
      <alignment horizontal="left"/>
    </xf>
    <xf numFmtId="0" fontId="41" fillId="0" borderId="0" xfId="0" quotePrefix="1" applyFont="1" applyAlignment="1">
      <alignment horizontal="left"/>
    </xf>
    <xf numFmtId="43" fontId="18" fillId="0" borderId="0" xfId="1" applyFont="1"/>
    <xf numFmtId="41" fontId="18" fillId="2" borderId="1" xfId="0" applyNumberFormat="1" applyFont="1" applyFill="1" applyBorder="1"/>
    <xf numFmtId="41" fontId="18" fillId="2" borderId="0" xfId="0" applyNumberFormat="1" applyFont="1" applyFill="1"/>
    <xf numFmtId="166" fontId="18" fillId="2" borderId="0" xfId="0" applyNumberFormat="1" applyFont="1" applyFill="1" applyAlignment="1">
      <alignment horizontal="center"/>
    </xf>
    <xf numFmtId="166" fontId="18" fillId="0" borderId="0" xfId="0" applyNumberFormat="1" applyFont="1" applyAlignment="1">
      <alignment horizontal="center"/>
    </xf>
    <xf numFmtId="0" fontId="9" fillId="0" borderId="0" xfId="0" quotePrefix="1" applyFont="1" applyAlignment="1">
      <alignment horizontal="left"/>
    </xf>
    <xf numFmtId="43" fontId="20" fillId="0" borderId="0" xfId="1" applyFont="1" applyFill="1" applyBorder="1" applyAlignment="1"/>
    <xf numFmtId="0" fontId="20" fillId="0" borderId="0" xfId="0" applyFont="1" applyAlignment="1">
      <alignment horizontal="right"/>
    </xf>
    <xf numFmtId="7" fontId="48" fillId="0" borderId="0" xfId="0" quotePrefix="1" applyNumberFormat="1" applyFont="1" applyAlignment="1">
      <alignment horizontal="center"/>
    </xf>
    <xf numFmtId="17" fontId="48" fillId="0" borderId="0" xfId="0" quotePrefix="1" applyNumberFormat="1" applyFont="1" applyAlignment="1">
      <alignment horizontal="center"/>
    </xf>
    <xf numFmtId="7" fontId="48" fillId="0" borderId="0" xfId="0" applyNumberFormat="1" applyFont="1" applyAlignment="1">
      <alignment horizontal="center"/>
    </xf>
    <xf numFmtId="2" fontId="20" fillId="0" borderId="0" xfId="0" quotePrefix="1" applyNumberFormat="1" applyFont="1" applyAlignment="1">
      <alignment horizontal="center"/>
    </xf>
    <xf numFmtId="0" fontId="49" fillId="0" borderId="0" xfId="0" quotePrefix="1" applyFont="1" applyAlignment="1">
      <alignment horizontal="center"/>
    </xf>
    <xf numFmtId="0" fontId="18" fillId="0" borderId="0" xfId="0" quotePrefix="1" applyFont="1" applyAlignment="1">
      <alignment horizontal="left" wrapText="1"/>
    </xf>
    <xf numFmtId="2" fontId="43" fillId="0" borderId="0" xfId="0" applyNumberFormat="1" applyFont="1" applyAlignment="1">
      <alignment horizontal="left" indent="3"/>
    </xf>
    <xf numFmtId="2" fontId="28" fillId="2" borderId="0" xfId="0" applyNumberFormat="1" applyFont="1" applyFill="1" applyAlignment="1">
      <alignment horizontal="left"/>
    </xf>
    <xf numFmtId="0" fontId="18" fillId="2" borderId="0" xfId="0" quotePrefix="1" applyFont="1" applyFill="1" applyAlignment="1">
      <alignment horizontal="left" wrapText="1"/>
    </xf>
    <xf numFmtId="7" fontId="24" fillId="0" borderId="1" xfId="0" quotePrefix="1" applyNumberFormat="1" applyFont="1" applyBorder="1" applyAlignment="1">
      <alignment horizontal="center"/>
    </xf>
    <xf numFmtId="43" fontId="35" fillId="0" borderId="0" xfId="7" applyNumberFormat="1" applyFont="1"/>
    <xf numFmtId="49" fontId="21" fillId="0" borderId="0" xfId="0" quotePrefix="1" applyNumberFormat="1" applyFont="1" applyFill="1" applyAlignment="1">
      <alignment horizontal="left" indent="1"/>
    </xf>
    <xf numFmtId="0" fontId="22" fillId="2" borderId="7" xfId="0" quotePrefix="1" applyFont="1" applyFill="1" applyBorder="1" applyAlignment="1">
      <alignment horizontal="left"/>
    </xf>
    <xf numFmtId="0" fontId="18" fillId="0" borderId="1" xfId="0" quotePrefix="1" applyFont="1" applyBorder="1" applyAlignment="1">
      <alignment horizontal="center"/>
    </xf>
    <xf numFmtId="0" fontId="18" fillId="0" borderId="0" xfId="0" applyFont="1" applyAlignment="1">
      <alignment horizontal="left"/>
    </xf>
    <xf numFmtId="0" fontId="18" fillId="0" borderId="1" xfId="0" applyFont="1" applyBorder="1" applyAlignment="1">
      <alignment horizontal="center"/>
    </xf>
    <xf numFmtId="0" fontId="18" fillId="0" borderId="0" xfId="0" quotePrefix="1" applyFont="1" applyAlignment="1">
      <alignment horizontal="left"/>
    </xf>
    <xf numFmtId="0" fontId="18" fillId="0" borderId="0" xfId="0" applyFont="1" applyAlignment="1">
      <alignment horizontal="center"/>
    </xf>
    <xf numFmtId="0" fontId="18" fillId="0" borderId="0" xfId="0" quotePrefix="1" applyFont="1" applyAlignment="1">
      <alignment horizontal="center"/>
    </xf>
    <xf numFmtId="0" fontId="18" fillId="0" borderId="0" xfId="0" applyFont="1" applyAlignment="1">
      <alignment horizontal="right"/>
    </xf>
    <xf numFmtId="0" fontId="18" fillId="2" borderId="0" xfId="0" applyFont="1" applyFill="1" applyAlignment="1">
      <alignment horizontal="left"/>
    </xf>
    <xf numFmtId="166" fontId="23" fillId="2" borderId="0" xfId="0" applyNumberFormat="1" applyFont="1" applyFill="1" applyAlignment="1">
      <alignment horizontal="left"/>
    </xf>
    <xf numFmtId="0" fontId="18" fillId="2" borderId="0" xfId="0" applyFont="1" applyFill="1" applyAlignment="1">
      <alignment horizontal="right"/>
    </xf>
    <xf numFmtId="0" fontId="18" fillId="2" borderId="0" xfId="0" applyFont="1" applyFill="1" applyAlignment="1">
      <alignment horizontal="center"/>
    </xf>
    <xf numFmtId="0" fontId="18" fillId="2" borderId="1" xfId="0" quotePrefix="1" applyFont="1" applyFill="1" applyBorder="1" applyAlignment="1">
      <alignment horizontal="center"/>
    </xf>
    <xf numFmtId="0" fontId="18" fillId="0" borderId="0" xfId="0" quotePrefix="1" applyFont="1" applyAlignment="1">
      <alignment horizontal="left"/>
    </xf>
    <xf numFmtId="0" fontId="18" fillId="2" borderId="0" xfId="0" applyFont="1" applyFill="1" applyAlignment="1">
      <alignment horizontal="left"/>
    </xf>
    <xf numFmtId="0" fontId="18" fillId="2" borderId="0" xfId="0" quotePrefix="1" applyFont="1" applyFill="1" applyAlignment="1">
      <alignment horizontal="left"/>
    </xf>
    <xf numFmtId="0" fontId="50" fillId="0" borderId="0" xfId="0" quotePrefix="1" applyFont="1" applyAlignment="1">
      <alignment horizontal="center"/>
    </xf>
    <xf numFmtId="0" fontId="50" fillId="0" borderId="1" xfId="0" quotePrefix="1" applyFont="1" applyBorder="1" applyAlignment="1">
      <alignment horizontal="center"/>
    </xf>
    <xf numFmtId="7" fontId="18" fillId="0" borderId="0" xfId="0" quotePrefix="1" applyNumberFormat="1" applyFont="1" applyAlignment="1">
      <alignment horizontal="center"/>
    </xf>
    <xf numFmtId="170" fontId="50" fillId="6" borderId="0" xfId="6" applyNumberFormat="1" applyFont="1" applyFill="1" applyBorder="1" applyAlignment="1"/>
    <xf numFmtId="0" fontId="20" fillId="0" borderId="0" xfId="0" applyFont="1" applyFill="1" applyBorder="1"/>
    <xf numFmtId="0" fontId="18" fillId="2" borderId="1" xfId="0" applyFont="1" applyFill="1" applyBorder="1"/>
    <xf numFmtId="170" fontId="50" fillId="2" borderId="1" xfId="6" applyNumberFormat="1" applyFont="1" applyFill="1" applyBorder="1" applyAlignment="1"/>
    <xf numFmtId="0" fontId="21" fillId="2" borderId="0" xfId="0" quotePrefix="1" applyFont="1" applyFill="1" applyAlignment="1">
      <alignment horizontal="left"/>
    </xf>
    <xf numFmtId="0" fontId="20" fillId="2" borderId="0" xfId="0" quotePrefix="1" applyFont="1" applyFill="1" applyAlignment="1">
      <alignment horizontal="center"/>
    </xf>
    <xf numFmtId="166" fontId="23" fillId="2" borderId="0" xfId="0" applyNumberFormat="1" applyFont="1" applyFill="1" applyAlignment="1">
      <alignment horizontal="center"/>
    </xf>
    <xf numFmtId="7" fontId="20" fillId="2" borderId="0" xfId="0" quotePrefix="1" applyNumberFormat="1" applyFont="1" applyFill="1" applyBorder="1" applyAlignment="1">
      <alignment horizontal="center"/>
    </xf>
    <xf numFmtId="17" fontId="20" fillId="2" borderId="0" xfId="0" quotePrefix="1" applyNumberFormat="1" applyFont="1" applyFill="1" applyBorder="1" applyAlignment="1">
      <alignment horizontal="center"/>
    </xf>
    <xf numFmtId="7" fontId="20" fillId="2" borderId="0" xfId="0" applyNumberFormat="1" applyFont="1" applyFill="1" applyBorder="1" applyAlignment="1">
      <alignment horizontal="center"/>
    </xf>
    <xf numFmtId="0" fontId="20" fillId="2" borderId="0" xfId="0" quotePrefix="1" applyFont="1" applyFill="1" applyBorder="1" applyAlignment="1">
      <alignment horizontal="center"/>
    </xf>
    <xf numFmtId="169" fontId="18" fillId="2" borderId="0" xfId="0" quotePrefix="1" applyNumberFormat="1" applyFont="1" applyFill="1" applyBorder="1" applyAlignment="1">
      <alignment horizontal="center"/>
    </xf>
    <xf numFmtId="2" fontId="18" fillId="2" borderId="0" xfId="0" quotePrefix="1" applyNumberFormat="1" applyFont="1" applyFill="1" applyBorder="1" applyAlignment="1">
      <alignment horizontal="center"/>
    </xf>
    <xf numFmtId="0" fontId="50" fillId="2" borderId="1" xfId="0" quotePrefix="1" applyFont="1" applyFill="1" applyBorder="1" applyAlignment="1">
      <alignment horizontal="center"/>
    </xf>
    <xf numFmtId="44" fontId="18" fillId="2" borderId="8" xfId="0" applyNumberFormat="1" applyFont="1" applyFill="1" applyBorder="1"/>
    <xf numFmtId="164" fontId="18" fillId="2" borderId="5" xfId="6" applyNumberFormat="1" applyFont="1" applyFill="1" applyBorder="1" applyAlignment="1"/>
    <xf numFmtId="164" fontId="18" fillId="2" borderId="1" xfId="6" applyNumberFormat="1" applyFont="1" applyFill="1" applyBorder="1" applyAlignment="1"/>
    <xf numFmtId="164" fontId="18" fillId="2" borderId="1" xfId="0" applyNumberFormat="1" applyFont="1" applyFill="1" applyBorder="1"/>
    <xf numFmtId="164" fontId="18" fillId="2" borderId="6" xfId="6" applyNumberFormat="1" applyFont="1" applyFill="1" applyBorder="1" applyAlignment="1"/>
    <xf numFmtId="164" fontId="18" fillId="2" borderId="3" xfId="6" applyNumberFormat="1" applyFont="1" applyFill="1" applyBorder="1" applyAlignment="1"/>
    <xf numFmtId="164" fontId="18" fillId="2" borderId="0" xfId="6" applyNumberFormat="1" applyFont="1" applyFill="1" applyBorder="1" applyAlignment="1"/>
    <xf numFmtId="164" fontId="18" fillId="2" borderId="0" xfId="0" applyNumberFormat="1" applyFont="1" applyFill="1"/>
    <xf numFmtId="4" fontId="18" fillId="2" borderId="1" xfId="0" applyNumberFormat="1" applyFont="1" applyFill="1" applyBorder="1"/>
    <xf numFmtId="164" fontId="18" fillId="2" borderId="8" xfId="0" applyNumberFormat="1" applyFont="1" applyFill="1" applyBorder="1"/>
    <xf numFmtId="0" fontId="51" fillId="0" borderId="0" xfId="0" quotePrefix="1" applyFont="1" applyAlignment="1">
      <alignment horizontal="left" vertical="center" indent="2"/>
    </xf>
    <xf numFmtId="0" fontId="51" fillId="0" borderId="0" xfId="0" applyFont="1" applyAlignment="1">
      <alignment horizontal="left" vertical="top" indent="2"/>
    </xf>
    <xf numFmtId="0" fontId="51" fillId="0" borderId="0" xfId="0" quotePrefix="1" applyFont="1" applyAlignment="1">
      <alignment horizontal="left" vertical="top" indent="2"/>
    </xf>
    <xf numFmtId="0" fontId="18" fillId="0" borderId="1" xfId="0" quotePrefix="1" applyFont="1" applyBorder="1" applyAlignment="1">
      <alignment horizontal="center"/>
    </xf>
    <xf numFmtId="0" fontId="18" fillId="0" borderId="0" xfId="0" applyFont="1" applyAlignment="1">
      <alignment horizontal="left"/>
    </xf>
    <xf numFmtId="2" fontId="18" fillId="0" borderId="0" xfId="0" applyNumberFormat="1" applyFont="1" applyAlignment="1">
      <alignment horizontal="center"/>
    </xf>
    <xf numFmtId="0" fontId="18" fillId="0" borderId="1" xfId="0" applyFont="1" applyBorder="1" applyAlignment="1">
      <alignment horizontal="center"/>
    </xf>
    <xf numFmtId="0" fontId="18" fillId="0" borderId="0" xfId="0" quotePrefix="1" applyFont="1" applyAlignment="1">
      <alignment horizontal="left"/>
    </xf>
    <xf numFmtId="0" fontId="18" fillId="0" borderId="0" xfId="0" applyFont="1" applyAlignment="1">
      <alignment horizontal="center"/>
    </xf>
    <xf numFmtId="0" fontId="18" fillId="0" borderId="0" xfId="0" quotePrefix="1" applyFont="1" applyAlignment="1">
      <alignment horizontal="center"/>
    </xf>
    <xf numFmtId="0" fontId="18" fillId="0" borderId="0" xfId="0" applyFont="1" applyAlignment="1">
      <alignment horizontal="right"/>
    </xf>
    <xf numFmtId="0" fontId="52" fillId="0" borderId="0" xfId="0" applyFont="1" applyAlignment="1">
      <alignment horizontal="left" vertical="center"/>
    </xf>
    <xf numFmtId="0" fontId="54" fillId="0" borderId="0" xfId="0" applyFont="1" applyAlignment="1">
      <alignment horizontal="left" vertical="center" wrapText="1"/>
    </xf>
    <xf numFmtId="49" fontId="21" fillId="0" borderId="0" xfId="0" quotePrefix="1" applyNumberFormat="1" applyFont="1" applyFill="1"/>
    <xf numFmtId="49" fontId="37" fillId="2" borderId="0" xfId="0" quotePrefix="1" applyNumberFormat="1" applyFont="1" applyFill="1" applyBorder="1" applyAlignment="1">
      <alignment horizontal="center"/>
    </xf>
    <xf numFmtId="0" fontId="37" fillId="2" borderId="26" xfId="0" applyFont="1" applyFill="1" applyBorder="1"/>
    <xf numFmtId="0" fontId="37" fillId="2" borderId="18" xfId="0" applyFont="1" applyFill="1" applyBorder="1"/>
    <xf numFmtId="0" fontId="22" fillId="2" borderId="19" xfId="0" applyFont="1" applyFill="1" applyBorder="1"/>
    <xf numFmtId="0" fontId="38" fillId="2" borderId="17" xfId="0" quotePrefix="1" applyFont="1" applyFill="1" applyBorder="1" applyAlignment="1">
      <alignment horizontal="left" indent="2"/>
    </xf>
    <xf numFmtId="0" fontId="21" fillId="0" borderId="0" xfId="0" quotePrefix="1" applyFont="1" applyFill="1" applyAlignment="1">
      <alignment horizontal="left" vertical="center" indent="1"/>
    </xf>
    <xf numFmtId="43" fontId="21" fillId="0" borderId="0" xfId="0" applyNumberFormat="1" applyFont="1" applyBorder="1"/>
    <xf numFmtId="0" fontId="22" fillId="2" borderId="0" xfId="0" quotePrefix="1" applyFont="1" applyFill="1" applyBorder="1" applyAlignment="1">
      <alignment vertical="top" wrapText="1"/>
    </xf>
    <xf numFmtId="0" fontId="22" fillId="2" borderId="18" xfId="0" quotePrefix="1" applyFont="1" applyFill="1" applyBorder="1" applyAlignment="1">
      <alignment vertical="top" wrapText="1"/>
    </xf>
    <xf numFmtId="43" fontId="38" fillId="0" borderId="0" xfId="0" quotePrefix="1" applyNumberFormat="1" applyFont="1" applyAlignment="1">
      <alignment horizontal="left"/>
    </xf>
    <xf numFmtId="0" fontId="6" fillId="0" borderId="0" xfId="12"/>
    <xf numFmtId="0" fontId="6" fillId="0" borderId="0" xfId="12" applyAlignment="1">
      <alignment horizontal="center"/>
    </xf>
    <xf numFmtId="43" fontId="0" fillId="0" borderId="0" xfId="13" applyFont="1"/>
    <xf numFmtId="43" fontId="6" fillId="0" borderId="0" xfId="12" applyNumberFormat="1"/>
    <xf numFmtId="43" fontId="7" fillId="0" borderId="0" xfId="13" applyFont="1"/>
    <xf numFmtId="0" fontId="56" fillId="0" borderId="0" xfId="12" applyFont="1"/>
    <xf numFmtId="43" fontId="56" fillId="0" borderId="0" xfId="12" applyNumberFormat="1" applyFont="1"/>
    <xf numFmtId="43" fontId="56" fillId="0" borderId="1" xfId="12" applyNumberFormat="1" applyFont="1" applyBorder="1"/>
    <xf numFmtId="0" fontId="55" fillId="0" borderId="0" xfId="12" applyFont="1"/>
    <xf numFmtId="0" fontId="55" fillId="0" borderId="0" xfId="12" applyFont="1" applyAlignment="1">
      <alignment horizontal="center"/>
    </xf>
    <xf numFmtId="0" fontId="55" fillId="0" borderId="0" xfId="12" applyFont="1" applyAlignment="1">
      <alignment horizontal="center" wrapText="1"/>
    </xf>
    <xf numFmtId="0" fontId="56" fillId="0" borderId="0" xfId="12" applyFont="1" applyAlignment="1">
      <alignment horizontal="right"/>
    </xf>
    <xf numFmtId="49" fontId="22" fillId="2" borderId="0" xfId="0" quotePrefix="1" applyNumberFormat="1" applyFont="1" applyFill="1" applyAlignment="1">
      <alignment horizontal="center"/>
    </xf>
    <xf numFmtId="43" fontId="56" fillId="0" borderId="0" xfId="1" applyFont="1"/>
    <xf numFmtId="43" fontId="6" fillId="0" borderId="0" xfId="12" applyNumberFormat="1" applyFill="1"/>
    <xf numFmtId="43" fontId="7" fillId="0" borderId="0" xfId="1" applyFont="1"/>
    <xf numFmtId="43" fontId="59" fillId="0" borderId="0" xfId="1" applyFont="1"/>
    <xf numFmtId="43" fontId="59" fillId="0" borderId="0" xfId="13" applyFont="1"/>
    <xf numFmtId="0" fontId="56" fillId="0" borderId="0" xfId="12" applyFont="1" applyAlignment="1">
      <alignment horizontal="left"/>
    </xf>
    <xf numFmtId="43" fontId="57" fillId="0" borderId="0" xfId="13" applyFont="1" applyAlignment="1">
      <alignment horizontal="center"/>
    </xf>
    <xf numFmtId="43" fontId="58" fillId="0" borderId="0" xfId="1" applyFont="1" applyAlignment="1">
      <alignment horizontal="center"/>
    </xf>
    <xf numFmtId="4" fontId="18" fillId="0" borderId="0" xfId="0" quotePrefix="1" applyNumberFormat="1" applyFont="1" applyAlignment="1">
      <alignment horizontal="center"/>
    </xf>
    <xf numFmtId="0" fontId="18" fillId="0" borderId="0" xfId="0" applyFont="1" applyAlignment="1">
      <alignment horizontal="center"/>
    </xf>
    <xf numFmtId="0" fontId="18" fillId="0" borderId="0" xfId="0" applyFont="1" applyAlignment="1">
      <alignment horizontal="left"/>
    </xf>
    <xf numFmtId="0" fontId="18" fillId="0" borderId="0" xfId="0" quotePrefix="1" applyFont="1" applyAlignment="1">
      <alignment horizontal="left"/>
    </xf>
    <xf numFmtId="0" fontId="18" fillId="2" borderId="0" xfId="0" applyFont="1" applyFill="1" applyAlignment="1">
      <alignment horizontal="right"/>
    </xf>
    <xf numFmtId="0" fontId="18" fillId="2" borderId="0" xfId="0" applyFont="1" applyFill="1" applyAlignment="1">
      <alignment horizontal="left"/>
    </xf>
    <xf numFmtId="0" fontId="18" fillId="2" borderId="0" xfId="0" quotePrefix="1" applyFont="1" applyFill="1" applyAlignment="1">
      <alignment horizontal="left"/>
    </xf>
    <xf numFmtId="0" fontId="18" fillId="2" borderId="0" xfId="0" applyFont="1" applyFill="1" applyAlignment="1">
      <alignment horizontal="center"/>
    </xf>
    <xf numFmtId="41" fontId="18" fillId="2" borderId="0" xfId="0" applyNumberFormat="1" applyFont="1" applyFill="1" applyBorder="1"/>
    <xf numFmtId="41" fontId="18" fillId="2" borderId="5" xfId="0" applyNumberFormat="1" applyFont="1" applyFill="1" applyBorder="1"/>
    <xf numFmtId="43" fontId="35" fillId="4" borderId="0" xfId="7" applyNumberFormat="1" applyFont="1" applyFill="1"/>
    <xf numFmtId="43" fontId="6" fillId="0" borderId="0" xfId="1" applyFont="1"/>
    <xf numFmtId="0" fontId="60" fillId="0" borderId="0" xfId="12" applyFont="1"/>
    <xf numFmtId="43" fontId="0" fillId="0" borderId="0" xfId="13" applyFont="1" applyFill="1"/>
    <xf numFmtId="43" fontId="56" fillId="0" borderId="0" xfId="1" applyFont="1" applyFill="1"/>
    <xf numFmtId="43" fontId="6" fillId="0" borderId="0" xfId="1" applyFont="1" applyFill="1"/>
    <xf numFmtId="43" fontId="18" fillId="0" borderId="0" xfId="0" applyNumberFormat="1" applyFont="1" applyAlignment="1">
      <alignment horizontal="right"/>
    </xf>
    <xf numFmtId="49" fontId="19" fillId="0" borderId="0" xfId="0" applyNumberFormat="1" applyFont="1"/>
    <xf numFmtId="43" fontId="0" fillId="3" borderId="0" xfId="13" applyFont="1" applyFill="1"/>
    <xf numFmtId="0" fontId="6" fillId="3" borderId="0" xfId="12" applyFill="1"/>
    <xf numFmtId="0" fontId="6" fillId="3" borderId="0" xfId="12" applyFill="1" applyAlignment="1">
      <alignment horizontal="center"/>
    </xf>
    <xf numFmtId="43" fontId="6" fillId="3" borderId="0" xfId="12" applyNumberFormat="1" applyFill="1"/>
    <xf numFmtId="0" fontId="37" fillId="0" borderId="0" xfId="0" applyFont="1" applyAlignment="1">
      <alignment horizontal="center"/>
    </xf>
    <xf numFmtId="49" fontId="21" fillId="0" borderId="0" xfId="7" quotePrefix="1" applyNumberFormat="1" applyFont="1" applyFill="1" applyAlignment="1">
      <alignment horizontal="left" indent="1"/>
    </xf>
    <xf numFmtId="0" fontId="5" fillId="0" borderId="0" xfId="12" applyFont="1" applyFill="1"/>
    <xf numFmtId="0" fontId="6" fillId="0" borderId="0" xfId="12" applyFill="1"/>
    <xf numFmtId="0" fontId="61" fillId="0" borderId="0" xfId="12" applyFont="1"/>
    <xf numFmtId="0" fontId="61" fillId="0" borderId="0" xfId="12" applyFont="1" applyAlignment="1">
      <alignment horizontal="center"/>
    </xf>
    <xf numFmtId="43" fontId="62" fillId="0" borderId="0" xfId="13" applyFont="1"/>
    <xf numFmtId="43" fontId="62" fillId="0" borderId="0" xfId="13" applyFont="1" applyFill="1"/>
    <xf numFmtId="43" fontId="63" fillId="0" borderId="0" xfId="13" applyFont="1"/>
    <xf numFmtId="1" fontId="13" fillId="0" borderId="0" xfId="0" quotePrefix="1" applyNumberFormat="1" applyFont="1" applyAlignment="1">
      <alignment horizontal="left"/>
    </xf>
    <xf numFmtId="43" fontId="59" fillId="0" borderId="0" xfId="13" applyFont="1" applyFill="1"/>
    <xf numFmtId="0" fontId="18" fillId="0" borderId="0" xfId="0" quotePrefix="1" applyFont="1" applyAlignment="1">
      <alignment horizontal="left"/>
    </xf>
    <xf numFmtId="0" fontId="18" fillId="2" borderId="0" xfId="0" quotePrefix="1" applyFont="1" applyFill="1" applyAlignment="1">
      <alignment horizontal="left"/>
    </xf>
    <xf numFmtId="49" fontId="22" fillId="2" borderId="7" xfId="0" quotePrefix="1" applyNumberFormat="1" applyFont="1" applyFill="1" applyBorder="1" applyAlignment="1">
      <alignment wrapText="1"/>
    </xf>
    <xf numFmtId="49" fontId="22" fillId="2" borderId="0" xfId="0" quotePrefix="1" applyNumberFormat="1" applyFont="1" applyFill="1" applyBorder="1" applyAlignment="1">
      <alignment wrapText="1"/>
    </xf>
    <xf numFmtId="49" fontId="22" fillId="2" borderId="18" xfId="0" quotePrefix="1" applyNumberFormat="1" applyFont="1" applyFill="1" applyBorder="1" applyAlignment="1">
      <alignment wrapText="1"/>
    </xf>
    <xf numFmtId="49" fontId="22" fillId="2" borderId="7" xfId="0" quotePrefix="1" applyNumberFormat="1" applyFont="1" applyFill="1" applyBorder="1" applyAlignment="1"/>
    <xf numFmtId="2" fontId="43" fillId="0" borderId="0" xfId="0" applyNumberFormat="1" applyFont="1" applyAlignment="1">
      <alignment horizontal="left" indent="3"/>
    </xf>
    <xf numFmtId="4" fontId="18" fillId="0" borderId="0" xfId="0" quotePrefix="1" applyNumberFormat="1" applyFont="1" applyAlignment="1">
      <alignment horizontal="center"/>
    </xf>
    <xf numFmtId="0" fontId="18" fillId="0" borderId="0" xfId="0" applyFont="1" applyAlignment="1">
      <alignment horizontal="center"/>
    </xf>
    <xf numFmtId="0" fontId="18" fillId="0" borderId="1" xfId="0" applyFont="1" applyBorder="1" applyAlignment="1">
      <alignment horizontal="center"/>
    </xf>
    <xf numFmtId="0" fontId="18" fillId="0" borderId="0" xfId="0" quotePrefix="1" applyFont="1" applyAlignment="1">
      <alignment horizontal="center"/>
    </xf>
    <xf numFmtId="4" fontId="18" fillId="0" borderId="0" xfId="0" applyNumberFormat="1" applyFont="1"/>
    <xf numFmtId="4" fontId="19" fillId="0" borderId="0" xfId="0" applyNumberFormat="1" applyFont="1" applyAlignment="1">
      <alignment horizontal="left"/>
    </xf>
    <xf numFmtId="0" fontId="18" fillId="0" borderId="1" xfId="0" quotePrefix="1" applyFont="1" applyBorder="1" applyAlignment="1">
      <alignment horizontal="center"/>
    </xf>
    <xf numFmtId="0" fontId="18" fillId="0" borderId="0" xfId="0" applyFont="1" applyAlignment="1">
      <alignment horizontal="left"/>
    </xf>
    <xf numFmtId="2" fontId="18" fillId="0" borderId="0" xfId="0" applyNumberFormat="1" applyFont="1" applyAlignment="1">
      <alignment horizontal="center"/>
    </xf>
    <xf numFmtId="0" fontId="18" fillId="0" borderId="0" xfId="0" quotePrefix="1" applyFont="1" applyAlignment="1">
      <alignment horizontal="left"/>
    </xf>
    <xf numFmtId="0" fontId="18" fillId="0" borderId="0" xfId="0" quotePrefix="1" applyFont="1" applyAlignment="1">
      <alignment horizontal="left" wrapText="1"/>
    </xf>
    <xf numFmtId="0" fontId="18" fillId="0" borderId="0" xfId="0" applyFont="1" applyAlignment="1">
      <alignment horizontal="right"/>
    </xf>
    <xf numFmtId="3" fontId="18" fillId="0" borderId="0" xfId="0" quotePrefix="1" applyNumberFormat="1" applyFont="1" applyAlignment="1">
      <alignment horizontal="center"/>
    </xf>
    <xf numFmtId="0" fontId="18" fillId="2" borderId="0" xfId="0" quotePrefix="1" applyFont="1" applyFill="1" applyAlignment="1">
      <alignment horizontal="left"/>
    </xf>
    <xf numFmtId="0" fontId="18" fillId="2" borderId="0" xfId="0" applyFont="1" applyFill="1" applyAlignment="1">
      <alignment horizontal="left"/>
    </xf>
    <xf numFmtId="0" fontId="18" fillId="2" borderId="0" xfId="0" applyFont="1" applyFill="1" applyAlignment="1">
      <alignment horizontal="right"/>
    </xf>
    <xf numFmtId="166" fontId="23" fillId="2" borderId="0" xfId="0" applyNumberFormat="1" applyFont="1" applyFill="1" applyAlignment="1">
      <alignment horizontal="left"/>
    </xf>
    <xf numFmtId="0" fontId="18" fillId="2" borderId="1" xfId="0" applyFont="1" applyFill="1" applyBorder="1" applyAlignment="1">
      <alignment horizontal="center"/>
    </xf>
    <xf numFmtId="165" fontId="18" fillId="2" borderId="0" xfId="4" applyFont="1" applyFill="1" applyBorder="1" applyAlignment="1">
      <alignment horizontal="right"/>
    </xf>
    <xf numFmtId="2" fontId="28" fillId="2" borderId="0" xfId="0" applyNumberFormat="1" applyFont="1" applyFill="1" applyAlignment="1">
      <alignment horizontal="left"/>
    </xf>
    <xf numFmtId="4" fontId="18" fillId="2" borderId="0" xfId="0" quotePrefix="1" applyNumberFormat="1" applyFont="1" applyFill="1" applyAlignment="1">
      <alignment horizontal="left"/>
    </xf>
    <xf numFmtId="2" fontId="18" fillId="2" borderId="0" xfId="0" applyNumberFormat="1" applyFont="1" applyFill="1" applyAlignment="1">
      <alignment horizontal="center"/>
    </xf>
    <xf numFmtId="0" fontId="22" fillId="0" borderId="0" xfId="0" applyFont="1" applyAlignment="1">
      <alignment horizontal="left"/>
    </xf>
    <xf numFmtId="0" fontId="18" fillId="2" borderId="0" xfId="0" applyFont="1" applyFill="1" applyAlignment="1">
      <alignment horizontal="center"/>
    </xf>
    <xf numFmtId="0" fontId="24" fillId="2" borderId="0" xfId="0" applyFont="1" applyFill="1" applyAlignment="1">
      <alignment horizontal="right"/>
    </xf>
    <xf numFmtId="0" fontId="18" fillId="2" borderId="0" xfId="0" quotePrefix="1" applyFont="1" applyFill="1" applyAlignment="1">
      <alignment horizontal="left" wrapText="1"/>
    </xf>
    <xf numFmtId="0" fontId="20" fillId="2" borderId="0" xfId="0" applyFont="1" applyFill="1" applyAlignment="1">
      <alignment horizontal="left"/>
    </xf>
    <xf numFmtId="0" fontId="18" fillId="2" borderId="1" xfId="0" quotePrefix="1" applyFont="1" applyFill="1" applyBorder="1" applyAlignment="1">
      <alignment horizontal="center"/>
    </xf>
    <xf numFmtId="4" fontId="18" fillId="2" borderId="0" xfId="0" applyNumberFormat="1" applyFont="1" applyFill="1" applyAlignment="1">
      <alignment horizontal="left"/>
    </xf>
    <xf numFmtId="4" fontId="19" fillId="2" borderId="0" xfId="0" applyNumberFormat="1" applyFont="1" applyFill="1" applyAlignment="1">
      <alignment horizontal="left"/>
    </xf>
    <xf numFmtId="4" fontId="18" fillId="0" borderId="0" xfId="0" applyNumberFormat="1" applyFont="1" applyAlignment="1">
      <alignment horizontal="left"/>
    </xf>
    <xf numFmtId="0" fontId="20" fillId="2" borderId="0" xfId="0" applyFont="1" applyFill="1" applyAlignment="1">
      <alignment horizontal="center"/>
    </xf>
    <xf numFmtId="7" fontId="21" fillId="2" borderId="0" xfId="0" applyNumberFormat="1" applyFont="1" applyFill="1" applyAlignment="1">
      <alignment horizontal="center"/>
    </xf>
    <xf numFmtId="0" fontId="18" fillId="0" borderId="0" xfId="0" quotePrefix="1" applyFont="1" applyAlignment="1">
      <alignment horizontal="left"/>
    </xf>
    <xf numFmtId="0" fontId="18" fillId="0" borderId="0" xfId="0" applyFont="1" applyAlignment="1">
      <alignment horizontal="left"/>
    </xf>
    <xf numFmtId="3" fontId="18" fillId="0" borderId="0" xfId="0" quotePrefix="1" applyNumberFormat="1" applyFont="1" applyAlignment="1">
      <alignment horizontal="center"/>
    </xf>
    <xf numFmtId="0" fontId="18" fillId="0" borderId="0" xfId="0" applyFont="1" applyAlignment="1">
      <alignment horizontal="right"/>
    </xf>
    <xf numFmtId="0" fontId="18" fillId="0" borderId="0" xfId="0" applyFont="1" applyAlignment="1">
      <alignment horizontal="center"/>
    </xf>
    <xf numFmtId="0" fontId="18" fillId="0" borderId="1" xfId="0" applyFont="1" applyBorder="1" applyAlignment="1">
      <alignment horizontal="center"/>
    </xf>
    <xf numFmtId="0" fontId="18" fillId="0" borderId="0" xfId="0" quotePrefix="1" applyFont="1" applyAlignment="1">
      <alignment horizontal="center"/>
    </xf>
    <xf numFmtId="0" fontId="18" fillId="0" borderId="0" xfId="0" quotePrefix="1" applyFont="1" applyAlignment="1">
      <alignment horizontal="left" wrapText="1"/>
    </xf>
    <xf numFmtId="2" fontId="18" fillId="0" borderId="0" xfId="0" applyNumberFormat="1" applyFont="1" applyAlignment="1">
      <alignment horizontal="center"/>
    </xf>
    <xf numFmtId="4" fontId="18" fillId="0" borderId="0" xfId="0" applyNumberFormat="1" applyFont="1"/>
    <xf numFmtId="4" fontId="19" fillId="0" borderId="0" xfId="0" applyNumberFormat="1" applyFont="1" applyAlignment="1">
      <alignment horizontal="left"/>
    </xf>
    <xf numFmtId="0" fontId="18" fillId="0" borderId="1" xfId="0" quotePrefix="1" applyFont="1" applyBorder="1" applyAlignment="1">
      <alignment horizontal="center"/>
    </xf>
    <xf numFmtId="2" fontId="43" fillId="0" borderId="0" xfId="0" applyNumberFormat="1" applyFont="1" applyAlignment="1">
      <alignment horizontal="left" indent="3"/>
    </xf>
    <xf numFmtId="4" fontId="18" fillId="0" borderId="0" xfId="0" quotePrefix="1" applyNumberFormat="1" applyFont="1" applyAlignment="1">
      <alignment horizontal="center"/>
    </xf>
    <xf numFmtId="0" fontId="18" fillId="2" borderId="0" xfId="0" applyFont="1" applyFill="1" applyAlignment="1">
      <alignment horizontal="center"/>
    </xf>
    <xf numFmtId="4" fontId="18" fillId="2" borderId="0" xfId="0" applyNumberFormat="1" applyFont="1" applyFill="1" applyAlignment="1">
      <alignment horizontal="left"/>
    </xf>
    <xf numFmtId="4" fontId="19" fillId="2" borderId="0" xfId="0" applyNumberFormat="1" applyFont="1" applyFill="1" applyAlignment="1">
      <alignment horizontal="left"/>
    </xf>
    <xf numFmtId="4" fontId="18" fillId="0" borderId="0" xfId="0" applyNumberFormat="1" applyFont="1" applyAlignment="1">
      <alignment horizontal="left"/>
    </xf>
    <xf numFmtId="0" fontId="20" fillId="2" borderId="0" xfId="0" applyFont="1" applyFill="1" applyAlignment="1">
      <alignment horizontal="center"/>
    </xf>
    <xf numFmtId="7" fontId="21" fillId="2" borderId="0" xfId="0" applyNumberFormat="1" applyFont="1" applyFill="1" applyAlignment="1">
      <alignment horizontal="center"/>
    </xf>
    <xf numFmtId="0" fontId="18" fillId="2" borderId="0" xfId="0" applyFont="1" applyFill="1" applyAlignment="1">
      <alignment horizontal="left"/>
    </xf>
    <xf numFmtId="0" fontId="18" fillId="2" borderId="1" xfId="0" quotePrefix="1" applyFont="1" applyFill="1" applyBorder="1" applyAlignment="1">
      <alignment horizontal="center"/>
    </xf>
    <xf numFmtId="0" fontId="20" fillId="2" borderId="0" xfId="0" applyFont="1" applyFill="1" applyAlignment="1">
      <alignment horizontal="left"/>
    </xf>
    <xf numFmtId="2" fontId="18" fillId="2" borderId="0" xfId="0" applyNumberFormat="1" applyFont="1" applyFill="1" applyAlignment="1">
      <alignment horizontal="center"/>
    </xf>
    <xf numFmtId="166" fontId="23" fillId="2" borderId="0" xfId="0" applyNumberFormat="1" applyFont="1" applyFill="1" applyAlignment="1">
      <alignment horizontal="left"/>
    </xf>
    <xf numFmtId="0" fontId="18" fillId="2" borderId="0" xfId="0" quotePrefix="1" applyFont="1" applyFill="1" applyAlignment="1">
      <alignment horizontal="left"/>
    </xf>
    <xf numFmtId="0" fontId="18" fillId="2" borderId="0" xfId="0" quotePrefix="1" applyFont="1" applyFill="1" applyAlignment="1">
      <alignment horizontal="left" wrapText="1"/>
    </xf>
    <xf numFmtId="0" fontId="22" fillId="0" borderId="0" xfId="0" applyFont="1" applyAlignment="1">
      <alignment horizontal="left"/>
    </xf>
    <xf numFmtId="0" fontId="18" fillId="2" borderId="1" xfId="0" applyFont="1" applyFill="1" applyBorder="1" applyAlignment="1">
      <alignment horizontal="center"/>
    </xf>
    <xf numFmtId="0" fontId="24" fillId="2" borderId="0" xfId="0" applyFont="1" applyFill="1" applyAlignment="1">
      <alignment horizontal="right"/>
    </xf>
    <xf numFmtId="0" fontId="18" fillId="2" borderId="0" xfId="0" applyFont="1" applyFill="1" applyAlignment="1">
      <alignment horizontal="right"/>
    </xf>
    <xf numFmtId="165" fontId="18" fillId="2" borderId="0" xfId="4" applyFont="1" applyFill="1" applyBorder="1" applyAlignment="1">
      <alignment horizontal="right"/>
    </xf>
    <xf numFmtId="2" fontId="28" fillId="2" borderId="0" xfId="0" applyNumberFormat="1" applyFont="1" applyFill="1" applyAlignment="1">
      <alignment horizontal="left"/>
    </xf>
    <xf numFmtId="4" fontId="18" fillId="2" borderId="0" xfId="0" quotePrefix="1" applyNumberFormat="1" applyFont="1" applyFill="1" applyAlignment="1">
      <alignment horizontal="left"/>
    </xf>
    <xf numFmtId="0" fontId="4" fillId="0" borderId="0" xfId="12" applyFont="1"/>
    <xf numFmtId="49" fontId="4" fillId="0" borderId="0" xfId="12" applyNumberFormat="1" applyFont="1" applyAlignment="1">
      <alignment horizontal="center"/>
    </xf>
    <xf numFmtId="1" fontId="22" fillId="0" borderId="0" xfId="0" applyNumberFormat="1" applyFont="1" applyBorder="1" applyAlignment="1">
      <alignment horizontal="center"/>
    </xf>
    <xf numFmtId="0" fontId="22" fillId="0" borderId="0" xfId="0" applyFont="1" applyBorder="1" applyAlignment="1">
      <alignment horizontal="center"/>
    </xf>
    <xf numFmtId="0" fontId="14" fillId="2" borderId="27" xfId="0" quotePrefix="1" applyFont="1" applyFill="1" applyBorder="1" applyAlignment="1">
      <alignment horizontal="left"/>
    </xf>
    <xf numFmtId="0" fontId="38" fillId="2" borderId="17" xfId="0" quotePrefix="1" applyFont="1" applyFill="1" applyBorder="1" applyAlignment="1">
      <alignment horizontal="left"/>
    </xf>
    <xf numFmtId="0" fontId="14" fillId="0" borderId="0" xfId="0" quotePrefix="1" applyFont="1" applyFill="1" applyBorder="1" applyAlignment="1">
      <alignment horizontal="left" indent="1"/>
    </xf>
    <xf numFmtId="0" fontId="38" fillId="0" borderId="0" xfId="0" quotePrefix="1" applyFont="1" applyFill="1" applyBorder="1" applyAlignment="1">
      <alignment horizontal="left" indent="2"/>
    </xf>
    <xf numFmtId="0" fontId="38" fillId="0" borderId="0" xfId="0" quotePrefix="1" applyFont="1" applyFill="1" applyBorder="1" applyAlignment="1">
      <alignment horizontal="left"/>
    </xf>
    <xf numFmtId="0" fontId="14" fillId="0" borderId="0" xfId="0" quotePrefix="1" applyFont="1" applyFill="1" applyBorder="1" applyAlignment="1">
      <alignment horizontal="left"/>
    </xf>
    <xf numFmtId="0" fontId="35" fillId="0" borderId="0" xfId="0" applyFont="1" applyFill="1" applyBorder="1"/>
    <xf numFmtId="43" fontId="21" fillId="0" borderId="0" xfId="7" applyNumberFormat="1" applyFont="1" applyFill="1"/>
    <xf numFmtId="43" fontId="22" fillId="0" borderId="0" xfId="0" applyNumberFormat="1" applyFont="1" applyBorder="1" applyAlignment="1">
      <alignment horizontal="center"/>
    </xf>
    <xf numFmtId="1" fontId="21" fillId="0" borderId="0" xfId="0" applyNumberFormat="1" applyFont="1" applyBorder="1" applyAlignment="1">
      <alignment horizontal="center"/>
    </xf>
    <xf numFmtId="1" fontId="21" fillId="0" borderId="0" xfId="0" applyNumberFormat="1" applyFont="1" applyBorder="1" applyAlignment="1">
      <alignment horizontal="left"/>
    </xf>
    <xf numFmtId="49" fontId="21" fillId="0" borderId="0" xfId="0" applyNumberFormat="1" applyFont="1" applyBorder="1" applyAlignment="1">
      <alignment horizontal="center"/>
    </xf>
    <xf numFmtId="49" fontId="21" fillId="4" borderId="0" xfId="0" quotePrefix="1" applyNumberFormat="1" applyFont="1" applyFill="1" applyAlignment="1">
      <alignment horizontal="left"/>
    </xf>
    <xf numFmtId="0" fontId="21" fillId="0" borderId="0" xfId="0" applyFont="1" applyBorder="1" applyAlignment="1">
      <alignment horizontal="left"/>
    </xf>
    <xf numFmtId="0" fontId="21" fillId="0" borderId="0" xfId="0" applyFont="1" applyBorder="1" applyAlignment="1">
      <alignment horizontal="center"/>
    </xf>
    <xf numFmtId="49" fontId="21" fillId="0" borderId="0" xfId="8" applyNumberFormat="1" applyFont="1" applyAlignment="1">
      <alignment horizontal="center"/>
    </xf>
    <xf numFmtId="43" fontId="0" fillId="0" borderId="0" xfId="1" applyFont="1" applyFill="1"/>
    <xf numFmtId="43" fontId="4" fillId="0" borderId="0" xfId="1" applyFont="1" applyAlignment="1">
      <alignment horizontal="center"/>
    </xf>
    <xf numFmtId="43" fontId="7" fillId="0" borderId="0" xfId="13" applyFont="1" applyAlignment="1">
      <alignment horizontal="center"/>
    </xf>
    <xf numFmtId="0" fontId="18" fillId="0" borderId="0" xfId="0" quotePrefix="1" applyFont="1" applyBorder="1" applyAlignment="1">
      <alignment horizontal="center"/>
    </xf>
    <xf numFmtId="43" fontId="3" fillId="0" borderId="0" xfId="1" applyFont="1" applyAlignment="1">
      <alignment horizontal="center"/>
    </xf>
    <xf numFmtId="43" fontId="3" fillId="0" borderId="0" xfId="12" applyNumberFormat="1" applyFont="1" applyAlignment="1">
      <alignment horizontal="center"/>
    </xf>
    <xf numFmtId="43" fontId="0" fillId="3" borderId="0" xfId="1" applyFont="1" applyFill="1"/>
    <xf numFmtId="43" fontId="2" fillId="0" borderId="0" xfId="1" applyFont="1" applyAlignment="1">
      <alignment horizontal="center"/>
    </xf>
    <xf numFmtId="43" fontId="7" fillId="0" borderId="0" xfId="1" applyFont="1" applyFill="1"/>
    <xf numFmtId="43" fontId="1" fillId="0" borderId="0" xfId="1" applyFont="1" applyAlignment="1">
      <alignment horizontal="center"/>
    </xf>
    <xf numFmtId="43" fontId="1" fillId="0" borderId="0" xfId="1" applyFont="1"/>
    <xf numFmtId="43" fontId="22" fillId="0" borderId="14" xfId="1" applyFont="1" applyBorder="1" applyAlignment="1">
      <alignment horizontal="center"/>
    </xf>
    <xf numFmtId="43" fontId="22" fillId="0" borderId="0" xfId="0" applyNumberFormat="1" applyFont="1"/>
    <xf numFmtId="43" fontId="35" fillId="0" borderId="0" xfId="1" applyNumberFormat="1" applyFont="1"/>
    <xf numFmtId="0" fontId="22" fillId="2" borderId="7" xfId="0" quotePrefix="1" applyFont="1" applyFill="1" applyBorder="1" applyAlignment="1">
      <alignment horizontal="left" indent="2"/>
    </xf>
    <xf numFmtId="0" fontId="22" fillId="0" borderId="10" xfId="0" applyFont="1" applyBorder="1" applyAlignment="1">
      <alignment horizontal="center"/>
    </xf>
    <xf numFmtId="0" fontId="22" fillId="0" borderId="5" xfId="0" applyFont="1" applyBorder="1" applyAlignment="1">
      <alignment horizontal="center"/>
    </xf>
    <xf numFmtId="0" fontId="22" fillId="0" borderId="11" xfId="0" applyFont="1" applyBorder="1" applyAlignment="1">
      <alignment horizontal="center"/>
    </xf>
    <xf numFmtId="43" fontId="22" fillId="0" borderId="4" xfId="1" quotePrefix="1" applyFont="1" applyBorder="1" applyAlignment="1">
      <alignment horizontal="center"/>
    </xf>
    <xf numFmtId="0" fontId="22" fillId="0" borderId="4" xfId="0" quotePrefix="1" applyFont="1" applyBorder="1" applyAlignment="1">
      <alignment horizontal="center"/>
    </xf>
    <xf numFmtId="0" fontId="22" fillId="0" borderId="0" xfId="0" quotePrefix="1" applyFont="1" applyAlignment="1">
      <alignment horizontal="center"/>
    </xf>
    <xf numFmtId="0" fontId="37" fillId="0" borderId="21" xfId="0" quotePrefix="1" applyFont="1" applyBorder="1" applyAlignment="1">
      <alignment horizontal="center"/>
    </xf>
    <xf numFmtId="0" fontId="37" fillId="0" borderId="22" xfId="0" quotePrefix="1" applyFont="1" applyBorder="1" applyAlignment="1">
      <alignment horizontal="center"/>
    </xf>
    <xf numFmtId="0" fontId="37" fillId="0" borderId="23" xfId="0" quotePrefix="1" applyFont="1" applyBorder="1" applyAlignment="1">
      <alignment horizontal="center"/>
    </xf>
    <xf numFmtId="49" fontId="37" fillId="0" borderId="4" xfId="7" quotePrefix="1" applyNumberFormat="1" applyFont="1" applyBorder="1" applyAlignment="1">
      <alignment horizontal="center"/>
    </xf>
    <xf numFmtId="49" fontId="37" fillId="0" borderId="4" xfId="7" applyNumberFormat="1" applyFont="1" applyBorder="1" applyAlignment="1">
      <alignment horizontal="center"/>
    </xf>
    <xf numFmtId="0" fontId="53" fillId="0" borderId="0" xfId="0" applyFont="1" applyFill="1" applyAlignment="1">
      <alignment horizontal="left" vertical="center" wrapText="1"/>
    </xf>
    <xf numFmtId="0" fontId="52" fillId="0" borderId="0" xfId="0" applyFont="1" applyFill="1" applyAlignment="1">
      <alignment horizontal="left" vertical="center" wrapText="1"/>
    </xf>
    <xf numFmtId="0" fontId="54" fillId="0" borderId="0" xfId="0" applyFont="1" applyAlignment="1">
      <alignment horizontal="left" vertical="center" wrapText="1"/>
    </xf>
    <xf numFmtId="0" fontId="53" fillId="0" borderId="0" xfId="0" applyFont="1" applyAlignment="1">
      <alignment horizontal="left" vertical="center" wrapText="1"/>
    </xf>
    <xf numFmtId="0" fontId="54" fillId="0" borderId="0" xfId="0" applyFont="1" applyAlignment="1">
      <alignment horizontal="left" vertical="center"/>
    </xf>
    <xf numFmtId="174" fontId="18" fillId="0" borderId="0" xfId="0" applyNumberFormat="1" applyFont="1"/>
    <xf numFmtId="0" fontId="18" fillId="0" borderId="0" xfId="0" quotePrefix="1" applyFont="1" applyAlignment="1">
      <alignment horizontal="left"/>
    </xf>
    <xf numFmtId="0" fontId="18" fillId="0" borderId="0" xfId="0" applyFont="1" applyAlignment="1">
      <alignment horizontal="left"/>
    </xf>
    <xf numFmtId="0" fontId="52" fillId="0" borderId="0" xfId="0" applyFont="1" applyAlignment="1">
      <alignment horizontal="left" vertical="center" wrapText="1"/>
    </xf>
    <xf numFmtId="3" fontId="18" fillId="0" borderId="0" xfId="0" quotePrefix="1" applyNumberFormat="1" applyFont="1" applyAlignment="1">
      <alignment horizontal="center"/>
    </xf>
    <xf numFmtId="0" fontId="18" fillId="0" borderId="0" xfId="0" applyFont="1" applyAlignment="1">
      <alignment horizontal="right"/>
    </xf>
    <xf numFmtId="0" fontId="18" fillId="0" borderId="0" xfId="0" applyFont="1" applyAlignment="1">
      <alignment horizontal="left" indent="2"/>
    </xf>
    <xf numFmtId="7" fontId="18" fillId="0" borderId="0" xfId="0" applyNumberFormat="1" applyFont="1" applyAlignment="1">
      <alignment horizontal="right"/>
    </xf>
    <xf numFmtId="0" fontId="18" fillId="9" borderId="1" xfId="0" applyFont="1" applyFill="1" applyBorder="1" applyAlignment="1">
      <alignment horizontal="center"/>
    </xf>
    <xf numFmtId="0" fontId="18" fillId="0" borderId="0" xfId="0" applyFont="1" applyAlignment="1">
      <alignment horizontal="left" wrapText="1"/>
    </xf>
    <xf numFmtId="0" fontId="41" fillId="0" borderId="0" xfId="0" quotePrefix="1" applyFont="1" applyAlignment="1">
      <alignment horizontal="center"/>
    </xf>
    <xf numFmtId="0" fontId="18" fillId="0" borderId="0" xfId="0" applyFont="1" applyAlignment="1">
      <alignment horizontal="center"/>
    </xf>
    <xf numFmtId="0" fontId="18" fillId="0" borderId="1" xfId="0" applyFont="1" applyBorder="1" applyAlignment="1">
      <alignment horizontal="center"/>
    </xf>
    <xf numFmtId="174" fontId="18" fillId="0" borderId="9" xfId="0" applyNumberFormat="1" applyFont="1" applyBorder="1"/>
    <xf numFmtId="0" fontId="41" fillId="0" borderId="0" xfId="0" quotePrefix="1" applyFont="1" applyAlignment="1">
      <alignment horizontal="right"/>
    </xf>
    <xf numFmtId="0" fontId="18" fillId="0" borderId="0" xfId="0" quotePrefix="1" applyFont="1" applyAlignment="1">
      <alignment horizontal="center"/>
    </xf>
    <xf numFmtId="0" fontId="18" fillId="0" borderId="0" xfId="0" quotePrefix="1" applyFont="1" applyAlignment="1">
      <alignment horizontal="left" wrapText="1"/>
    </xf>
    <xf numFmtId="0" fontId="20" fillId="0" borderId="6" xfId="0" applyFont="1" applyBorder="1" applyAlignment="1">
      <alignment horizontal="left" vertical="center" wrapText="1"/>
    </xf>
    <xf numFmtId="0" fontId="20" fillId="0" borderId="0" xfId="0" applyFont="1" applyAlignment="1">
      <alignment horizontal="left" vertical="center" wrapText="1"/>
    </xf>
    <xf numFmtId="168" fontId="18" fillId="0" borderId="0" xfId="0" applyNumberFormat="1" applyFont="1" applyAlignment="1">
      <alignment horizontal="center"/>
    </xf>
    <xf numFmtId="0" fontId="18" fillId="0" borderId="0" xfId="0" quotePrefix="1" applyFont="1" applyAlignment="1">
      <alignment horizontal="left" indent="2"/>
    </xf>
    <xf numFmtId="2" fontId="18" fillId="0" borderId="0" xfId="0" applyNumberFormat="1" applyFont="1" applyAlignment="1">
      <alignment horizontal="center"/>
    </xf>
    <xf numFmtId="0" fontId="18" fillId="0" borderId="1" xfId="0" applyFont="1" applyBorder="1" applyAlignment="1">
      <alignment horizontal="left" wrapText="1"/>
    </xf>
    <xf numFmtId="0" fontId="18" fillId="0" borderId="6" xfId="0" applyFont="1" applyBorder="1" applyAlignment="1">
      <alignment horizontal="left"/>
    </xf>
    <xf numFmtId="168" fontId="18" fillId="0" borderId="6" xfId="0" applyNumberFormat="1" applyFont="1" applyBorder="1" applyAlignment="1">
      <alignment horizontal="center"/>
    </xf>
    <xf numFmtId="0" fontId="19" fillId="0" borderId="7" xfId="0" applyFont="1" applyBorder="1" applyAlignment="1">
      <alignment horizontal="left"/>
    </xf>
    <xf numFmtId="0" fontId="19" fillId="0" borderId="0" xfId="0" applyFont="1" applyAlignment="1">
      <alignment horizontal="left"/>
    </xf>
    <xf numFmtId="4" fontId="18" fillId="0" borderId="0" xfId="0" applyNumberFormat="1" applyFont="1"/>
    <xf numFmtId="4" fontId="19" fillId="0" borderId="0" xfId="0" applyNumberFormat="1" applyFont="1" applyAlignment="1">
      <alignment horizontal="left"/>
    </xf>
    <xf numFmtId="4" fontId="18" fillId="0" borderId="0" xfId="0" quotePrefix="1" applyNumberFormat="1" applyFont="1" applyAlignment="1">
      <alignment horizontal="left"/>
    </xf>
    <xf numFmtId="168" fontId="18" fillId="0" borderId="0" xfId="0" applyNumberFormat="1" applyFont="1" applyAlignment="1">
      <alignment horizontal="center" wrapText="1"/>
    </xf>
    <xf numFmtId="168" fontId="18" fillId="0" borderId="1" xfId="0" applyNumberFormat="1" applyFont="1" applyBorder="1" applyAlignment="1">
      <alignment horizontal="center" wrapText="1"/>
    </xf>
    <xf numFmtId="0" fontId="18" fillId="0" borderId="1" xfId="0" quotePrefix="1" applyFont="1" applyBorder="1" applyAlignment="1">
      <alignment horizontal="center"/>
    </xf>
    <xf numFmtId="168" fontId="18" fillId="0" borderId="1" xfId="0" quotePrefix="1" applyNumberFormat="1" applyFont="1" applyBorder="1" applyAlignment="1">
      <alignment horizontal="center"/>
    </xf>
    <xf numFmtId="0" fontId="52" fillId="0" borderId="0" xfId="0" applyFont="1" applyAlignment="1">
      <alignment horizontal="left" vertical="center"/>
    </xf>
    <xf numFmtId="0" fontId="41" fillId="0" borderId="0" xfId="0" applyFont="1" applyAlignment="1">
      <alignment horizontal="right"/>
    </xf>
    <xf numFmtId="0" fontId="18" fillId="0" borderId="6" xfId="0" applyFont="1" applyBorder="1" applyAlignment="1">
      <alignment horizontal="left" indent="2"/>
    </xf>
    <xf numFmtId="7" fontId="18" fillId="0" borderId="6" xfId="0" applyNumberFormat="1" applyFont="1" applyBorder="1" applyAlignment="1">
      <alignment horizontal="right"/>
    </xf>
    <xf numFmtId="2" fontId="43" fillId="0" borderId="0" xfId="0" applyNumberFormat="1" applyFont="1" applyAlignment="1">
      <alignment horizontal="left" indent="3"/>
    </xf>
    <xf numFmtId="4" fontId="18" fillId="0" borderId="0" xfId="0" quotePrefix="1" applyNumberFormat="1" applyFont="1" applyAlignment="1">
      <alignment horizontal="center"/>
    </xf>
    <xf numFmtId="0" fontId="36" fillId="2" borderId="0" xfId="0" applyFont="1" applyFill="1" applyAlignment="1">
      <alignment horizontal="left"/>
    </xf>
    <xf numFmtId="0" fontId="22" fillId="2" borderId="0" xfId="0" applyFont="1" applyFill="1" applyAlignment="1">
      <alignment horizontal="left"/>
    </xf>
    <xf numFmtId="0" fontId="22" fillId="0" borderId="0" xfId="0" applyFont="1" applyAlignment="1">
      <alignment horizontal="left"/>
    </xf>
    <xf numFmtId="0" fontId="18" fillId="2" borderId="0" xfId="0" quotePrefix="1" applyFont="1" applyFill="1" applyAlignment="1">
      <alignment horizontal="left"/>
    </xf>
    <xf numFmtId="0" fontId="18" fillId="2" borderId="0" xfId="0" applyFont="1" applyFill="1" applyAlignment="1">
      <alignment horizontal="left"/>
    </xf>
    <xf numFmtId="0" fontId="18" fillId="2" borderId="1" xfId="0" applyFont="1" applyFill="1" applyBorder="1" applyAlignment="1">
      <alignment horizontal="left"/>
    </xf>
    <xf numFmtId="0" fontId="24" fillId="2" borderId="5" xfId="0" applyFont="1" applyFill="1" applyBorder="1" applyAlignment="1">
      <alignment horizontal="center"/>
    </xf>
    <xf numFmtId="0" fontId="18" fillId="2" borderId="1" xfId="0" applyFont="1" applyFill="1" applyBorder="1" applyAlignment="1">
      <alignment horizontal="center"/>
    </xf>
    <xf numFmtId="0" fontId="18" fillId="2" borderId="0" xfId="0" applyFont="1" applyFill="1" applyAlignment="1">
      <alignment horizontal="center"/>
    </xf>
    <xf numFmtId="7" fontId="18" fillId="2" borderId="6" xfId="0" applyNumberFormat="1" applyFont="1" applyFill="1" applyBorder="1" applyAlignment="1">
      <alignment horizontal="right"/>
    </xf>
    <xf numFmtId="7" fontId="18" fillId="2" borderId="0" xfId="0" applyNumberFormat="1" applyFont="1" applyFill="1" applyAlignment="1">
      <alignment horizontal="right"/>
    </xf>
    <xf numFmtId="0" fontId="24" fillId="2" borderId="1" xfId="0" applyFont="1" applyFill="1" applyBorder="1" applyAlignment="1">
      <alignment horizontal="center"/>
    </xf>
    <xf numFmtId="0" fontId="24" fillId="2" borderId="0" xfId="0" applyFont="1" applyFill="1" applyAlignment="1">
      <alignment horizontal="right"/>
    </xf>
    <xf numFmtId="165" fontId="18" fillId="2" borderId="7" xfId="4" applyFont="1" applyFill="1" applyBorder="1" applyAlignment="1">
      <alignment horizontal="right"/>
    </xf>
    <xf numFmtId="165" fontId="18" fillId="2" borderId="0" xfId="4" applyFont="1" applyFill="1" applyBorder="1" applyAlignment="1">
      <alignment horizontal="right"/>
    </xf>
    <xf numFmtId="2" fontId="28" fillId="2" borderId="0" xfId="0" applyNumberFormat="1" applyFont="1" applyFill="1" applyAlignment="1">
      <alignment horizontal="left"/>
    </xf>
    <xf numFmtId="4" fontId="18" fillId="2" borderId="0" xfId="0" quotePrefix="1" applyNumberFormat="1" applyFont="1" applyFill="1" applyAlignment="1">
      <alignment horizontal="left"/>
    </xf>
    <xf numFmtId="4" fontId="27" fillId="2" borderId="0" xfId="0" applyNumberFormat="1" applyFont="1" applyFill="1" applyAlignment="1">
      <alignment horizontal="left"/>
    </xf>
    <xf numFmtId="169" fontId="41" fillId="2" borderId="0" xfId="0" applyNumberFormat="1" applyFont="1" applyFill="1" applyAlignment="1">
      <alignment horizontal="center"/>
    </xf>
    <xf numFmtId="0" fontId="27" fillId="2" borderId="0" xfId="0" applyFont="1" applyFill="1" applyAlignment="1">
      <alignment horizontal="right"/>
    </xf>
    <xf numFmtId="0" fontId="27" fillId="2" borderId="0" xfId="0" quotePrefix="1" applyFont="1" applyFill="1" applyAlignment="1">
      <alignment horizontal="center"/>
    </xf>
    <xf numFmtId="0" fontId="27" fillId="2" borderId="0" xfId="0" applyFont="1" applyFill="1" applyAlignment="1">
      <alignment horizontal="center"/>
    </xf>
    <xf numFmtId="166" fontId="23" fillId="2" borderId="0" xfId="0" applyNumberFormat="1" applyFont="1" applyFill="1" applyAlignment="1">
      <alignment horizontal="left"/>
    </xf>
    <xf numFmtId="0" fontId="18" fillId="2" borderId="0" xfId="0" quotePrefix="1" applyFont="1" applyFill="1" applyAlignment="1">
      <alignment horizontal="left" wrapText="1"/>
    </xf>
    <xf numFmtId="168" fontId="47" fillId="2" borderId="0" xfId="0" quotePrefix="1" applyNumberFormat="1" applyFont="1" applyFill="1" applyAlignment="1">
      <alignment horizontal="left"/>
    </xf>
    <xf numFmtId="168" fontId="47" fillId="2" borderId="0" xfId="0" applyNumberFormat="1" applyFont="1" applyFill="1" applyAlignment="1">
      <alignment horizontal="left"/>
    </xf>
    <xf numFmtId="168" fontId="22" fillId="2" borderId="0" xfId="0" quotePrefix="1" applyNumberFormat="1" applyFont="1" applyFill="1" applyAlignment="1">
      <alignment horizontal="left"/>
    </xf>
    <xf numFmtId="168" fontId="22" fillId="2" borderId="0" xfId="0" applyNumberFormat="1" applyFont="1" applyFill="1" applyAlignment="1">
      <alignment horizontal="left"/>
    </xf>
    <xf numFmtId="168" fontId="18" fillId="2" borderId="0" xfId="0" quotePrefix="1" applyNumberFormat="1" applyFont="1" applyFill="1" applyAlignment="1">
      <alignment horizontal="left"/>
    </xf>
    <xf numFmtId="168" fontId="18" fillId="2" borderId="0" xfId="0" applyNumberFormat="1" applyFont="1" applyFill="1" applyAlignment="1">
      <alignment horizontal="left"/>
    </xf>
    <xf numFmtId="4" fontId="24" fillId="2" borderId="5" xfId="0" applyNumberFormat="1" applyFont="1" applyFill="1" applyBorder="1" applyAlignment="1">
      <alignment horizontal="center" wrapText="1"/>
    </xf>
    <xf numFmtId="4" fontId="24" fillId="2" borderId="24" xfId="0" applyNumberFormat="1" applyFont="1" applyFill="1" applyBorder="1" applyAlignment="1">
      <alignment horizontal="center" wrapText="1"/>
    </xf>
    <xf numFmtId="2" fontId="18" fillId="2" borderId="25" xfId="0" applyNumberFormat="1" applyFont="1" applyFill="1" applyBorder="1" applyAlignment="1">
      <alignment horizontal="center"/>
    </xf>
    <xf numFmtId="0" fontId="18" fillId="2" borderId="0" xfId="0" applyFont="1" applyFill="1" applyAlignment="1">
      <alignment horizontal="right"/>
    </xf>
    <xf numFmtId="2" fontId="25" fillId="2" borderId="1" xfId="0" applyNumberFormat="1" applyFont="1" applyFill="1" applyBorder="1" applyAlignment="1">
      <alignment horizontal="center"/>
    </xf>
    <xf numFmtId="0" fontId="20" fillId="2" borderId="6" xfId="0" applyFont="1" applyFill="1" applyBorder="1" applyAlignment="1">
      <alignment horizontal="left" vertical="center" wrapText="1"/>
    </xf>
    <xf numFmtId="0" fontId="20" fillId="2" borderId="0" xfId="0" applyFont="1" applyFill="1" applyAlignment="1">
      <alignment horizontal="left" vertical="center" wrapText="1"/>
    </xf>
    <xf numFmtId="4" fontId="24" fillId="2" borderId="1" xfId="0" applyNumberFormat="1" applyFont="1" applyFill="1" applyBorder="1" applyAlignment="1">
      <alignment horizontal="center" wrapText="1"/>
    </xf>
    <xf numFmtId="2" fontId="18" fillId="2" borderId="0" xfId="0" applyNumberFormat="1" applyFont="1" applyFill="1" applyAlignment="1">
      <alignment horizontal="center"/>
    </xf>
    <xf numFmtId="0" fontId="18" fillId="2" borderId="0" xfId="0" applyFont="1" applyFill="1" applyAlignment="1">
      <alignment horizontal="left" wrapText="1"/>
    </xf>
    <xf numFmtId="2" fontId="44" fillId="0" borderId="0" xfId="0" applyNumberFormat="1" applyFont="1" applyAlignment="1">
      <alignment horizontal="center" wrapText="1"/>
    </xf>
    <xf numFmtId="2" fontId="44" fillId="0" borderId="1" xfId="0" applyNumberFormat="1" applyFont="1" applyBorder="1" applyAlignment="1">
      <alignment horizontal="center" wrapText="1"/>
    </xf>
    <xf numFmtId="0" fontId="18" fillId="2" borderId="1" xfId="0" applyFont="1" applyFill="1" applyBorder="1" applyAlignment="1">
      <alignment horizontal="left" wrapText="1"/>
    </xf>
    <xf numFmtId="2" fontId="24" fillId="2" borderId="1" xfId="0" applyNumberFormat="1" applyFont="1" applyFill="1" applyBorder="1" applyAlignment="1">
      <alignment horizontal="center"/>
    </xf>
    <xf numFmtId="0" fontId="18" fillId="2" borderId="6" xfId="0" applyFont="1" applyFill="1" applyBorder="1" applyAlignment="1">
      <alignment horizontal="left"/>
    </xf>
    <xf numFmtId="168" fontId="18" fillId="6" borderId="0" xfId="0" applyNumberFormat="1" applyFont="1" applyFill="1" applyAlignment="1">
      <alignment horizontal="center"/>
    </xf>
    <xf numFmtId="2" fontId="24" fillId="2" borderId="5" xfId="0" applyNumberFormat="1" applyFont="1" applyFill="1" applyBorder="1" applyAlignment="1">
      <alignment horizontal="center"/>
    </xf>
    <xf numFmtId="168" fontId="18" fillId="2" borderId="1" xfId="0" applyNumberFormat="1" applyFont="1" applyFill="1" applyBorder="1" applyAlignment="1">
      <alignment horizontal="center"/>
    </xf>
    <xf numFmtId="0" fontId="18" fillId="2" borderId="6" xfId="0" applyFont="1" applyFill="1" applyBorder="1" applyAlignment="1">
      <alignment horizontal="right"/>
    </xf>
    <xf numFmtId="2" fontId="23" fillId="2" borderId="1" xfId="0" applyNumberFormat="1" applyFont="1" applyFill="1" applyBorder="1" applyAlignment="1">
      <alignment horizontal="center"/>
    </xf>
    <xf numFmtId="168" fontId="18" fillId="2" borderId="0" xfId="0" applyNumberFormat="1" applyFont="1" applyFill="1" applyAlignment="1">
      <alignment horizontal="center"/>
    </xf>
    <xf numFmtId="0" fontId="18" fillId="2" borderId="1" xfId="0" quotePrefix="1" applyFont="1" applyFill="1" applyBorder="1" applyAlignment="1">
      <alignment horizontal="center"/>
    </xf>
    <xf numFmtId="0" fontId="25" fillId="2" borderId="1" xfId="0" quotePrefix="1" applyFont="1" applyFill="1" applyBorder="1" applyAlignment="1">
      <alignment horizontal="center"/>
    </xf>
    <xf numFmtId="168" fontId="18" fillId="2" borderId="1" xfId="0" quotePrefix="1" applyNumberFormat="1" applyFont="1" applyFill="1" applyBorder="1" applyAlignment="1">
      <alignment horizontal="center"/>
    </xf>
    <xf numFmtId="168" fontId="18" fillId="6" borderId="6" xfId="0" applyNumberFormat="1" applyFont="1" applyFill="1" applyBorder="1" applyAlignment="1">
      <alignment horizontal="center"/>
    </xf>
    <xf numFmtId="168" fontId="18" fillId="2" borderId="6" xfId="0" applyNumberFormat="1" applyFont="1" applyFill="1" applyBorder="1" applyAlignment="1">
      <alignment horizontal="center"/>
    </xf>
    <xf numFmtId="168" fontId="18" fillId="2" borderId="0" xfId="0" applyNumberFormat="1" applyFont="1" applyFill="1" applyAlignment="1">
      <alignment horizontal="center" wrapText="1"/>
    </xf>
    <xf numFmtId="0" fontId="25" fillId="2" borderId="1" xfId="0" applyFont="1" applyFill="1" applyBorder="1" applyAlignment="1">
      <alignment horizontal="center" wrapText="1"/>
    </xf>
    <xf numFmtId="168" fontId="18" fillId="2" borderId="1" xfId="0" applyNumberFormat="1" applyFont="1" applyFill="1" applyBorder="1" applyAlignment="1">
      <alignment horizontal="center" wrapText="1"/>
    </xf>
    <xf numFmtId="4" fontId="18" fillId="0" borderId="0" xfId="0" applyNumberFormat="1" applyFont="1" applyAlignment="1">
      <alignment horizontal="left"/>
    </xf>
    <xf numFmtId="4" fontId="18" fillId="2" borderId="0" xfId="0" applyNumberFormat="1" applyFont="1" applyFill="1" applyAlignment="1">
      <alignment horizontal="left"/>
    </xf>
    <xf numFmtId="0" fontId="20" fillId="2" borderId="0" xfId="0" applyFont="1" applyFill="1" applyAlignment="1">
      <alignment horizontal="center"/>
    </xf>
    <xf numFmtId="7" fontId="21" fillId="2" borderId="0" xfId="0" applyNumberFormat="1" applyFont="1" applyFill="1" applyAlignment="1">
      <alignment horizontal="center"/>
    </xf>
    <xf numFmtId="0" fontId="20" fillId="2" borderId="0" xfId="0" quotePrefix="1" applyFont="1" applyFill="1" applyAlignment="1">
      <alignment horizontal="left"/>
    </xf>
    <xf numFmtId="0" fontId="20" fillId="2" borderId="0" xfId="0" applyFont="1" applyFill="1" applyAlignment="1">
      <alignment horizontal="left"/>
    </xf>
    <xf numFmtId="169" fontId="20" fillId="2" borderId="0" xfId="0" applyNumberFormat="1" applyFont="1" applyFill="1" applyAlignment="1">
      <alignment horizontal="left"/>
    </xf>
    <xf numFmtId="0" fontId="42" fillId="0" borderId="7" xfId="0" applyFont="1" applyBorder="1" applyAlignment="1">
      <alignment horizontal="left"/>
    </xf>
    <xf numFmtId="0" fontId="42" fillId="0" borderId="0" xfId="0" applyFont="1" applyAlignment="1">
      <alignment horizontal="left"/>
    </xf>
    <xf numFmtId="0" fontId="17" fillId="2" borderId="0" xfId="0" applyFont="1" applyFill="1" applyAlignment="1">
      <alignment horizontal="center"/>
    </xf>
    <xf numFmtId="4" fontId="19" fillId="2" borderId="0" xfId="0" applyNumberFormat="1" applyFont="1" applyFill="1" applyAlignment="1">
      <alignment horizontal="left"/>
    </xf>
    <xf numFmtId="0" fontId="9" fillId="2" borderId="0" xfId="0" quotePrefix="1" applyFont="1" applyFill="1" applyAlignment="1">
      <alignment horizontal="center"/>
    </xf>
    <xf numFmtId="2" fontId="45" fillId="0" borderId="0" xfId="0" applyNumberFormat="1" applyFont="1" applyAlignment="1">
      <alignment horizontal="center" wrapText="1"/>
    </xf>
    <xf numFmtId="2" fontId="45" fillId="0" borderId="1" xfId="0" applyNumberFormat="1" applyFont="1" applyBorder="1" applyAlignment="1">
      <alignment horizontal="center" wrapText="1"/>
    </xf>
    <xf numFmtId="0" fontId="18" fillId="2" borderId="0" xfId="0" quotePrefix="1" applyFont="1" applyFill="1" applyAlignment="1"/>
    <xf numFmtId="0" fontId="18" fillId="2" borderId="0" xfId="0" applyFont="1" applyFill="1" applyAlignment="1"/>
    <xf numFmtId="7" fontId="18"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53">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Z63"/>
  <sheetViews>
    <sheetView workbookViewId="0">
      <selection activeCell="J24" sqref="J24"/>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687" t="s">
        <v>290</v>
      </c>
      <c r="J4" s="688"/>
      <c r="K4" s="688"/>
      <c r="L4" s="689"/>
      <c r="M4" s="316" t="s">
        <v>312</v>
      </c>
      <c r="N4" s="194"/>
      <c r="Q4" s="690" t="s">
        <v>325</v>
      </c>
      <c r="R4" s="690"/>
      <c r="S4" s="690"/>
      <c r="U4" s="691" t="s">
        <v>310</v>
      </c>
      <c r="V4" s="691"/>
      <c r="W4" s="691"/>
    </row>
    <row r="5" spans="1:23" x14ac:dyDescent="0.2">
      <c r="A5" s="188" t="s">
        <v>328</v>
      </c>
      <c r="B5" s="188" t="s">
        <v>328</v>
      </c>
      <c r="C5" s="188" t="s">
        <v>328</v>
      </c>
      <c r="D5" s="318" t="s">
        <v>304</v>
      </c>
      <c r="E5" s="318" t="s">
        <v>303</v>
      </c>
      <c r="F5" s="318" t="s">
        <v>291</v>
      </c>
      <c r="G5" s="400" t="s">
        <v>381</v>
      </c>
      <c r="H5" s="317" t="s">
        <v>328</v>
      </c>
      <c r="I5" s="233" t="s">
        <v>292</v>
      </c>
      <c r="J5" s="233" t="s">
        <v>380</v>
      </c>
      <c r="K5" s="233" t="s">
        <v>293</v>
      </c>
      <c r="L5" s="319" t="s">
        <v>294</v>
      </c>
      <c r="M5" s="683"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320" t="s">
        <v>537</v>
      </c>
      <c r="C6" s="321" t="s">
        <v>540</v>
      </c>
      <c r="D6" s="377">
        <v>0</v>
      </c>
      <c r="E6" s="377"/>
      <c r="F6" s="329">
        <f>-K6/I6</f>
        <v>4.826298458954207E-2</v>
      </c>
      <c r="G6" s="399">
        <f>-K6/J6</f>
        <v>5.0000015698040037E-2</v>
      </c>
      <c r="H6" s="322"/>
      <c r="I6" s="330">
        <f>'0040'!I$128</f>
        <v>329974.62</v>
      </c>
      <c r="J6" s="330">
        <f>I6-'0040'!I$53</f>
        <v>318511.09999999998</v>
      </c>
      <c r="K6" s="330">
        <f>'0040'!I$135</f>
        <v>-15925.56</v>
      </c>
      <c r="L6" s="330">
        <f>I6+K6</f>
        <v>314049.06</v>
      </c>
      <c r="M6" s="331">
        <f>'0040'!I$145</f>
        <v>38571.97</v>
      </c>
      <c r="N6" s="201"/>
      <c r="O6" s="330">
        <f>'0040'!E30</f>
        <v>36</v>
      </c>
      <c r="Q6" s="331">
        <f>I6/O6</f>
        <v>9165.9616666666661</v>
      </c>
      <c r="R6" s="331">
        <f>K6/O6</f>
        <v>-442.37666666666667</v>
      </c>
      <c r="S6" s="331">
        <f>L6/O6</f>
        <v>8723.5849999999991</v>
      </c>
      <c r="U6" s="331">
        <f>IF(D6="H",S6,0)</f>
        <v>0</v>
      </c>
      <c r="V6" s="331">
        <f t="shared" ref="V6:V7" si="0">ROUND(IF(E6=1,S6,0),2)</f>
        <v>0</v>
      </c>
      <c r="W6" s="331">
        <f t="shared" ref="W6:W7" si="1">IF(AND(U6=0,V6=0),S6,)</f>
        <v>8723.5849999999991</v>
      </c>
    </row>
    <row r="7" spans="1:23" x14ac:dyDescent="0.2">
      <c r="A7" s="191">
        <v>2</v>
      </c>
      <c r="B7" s="671" t="s">
        <v>538</v>
      </c>
      <c r="C7" s="188" t="s">
        <v>541</v>
      </c>
      <c r="D7" s="377">
        <v>0</v>
      </c>
      <c r="E7" s="655"/>
      <c r="F7" s="329">
        <f>-K7/I7</f>
        <v>1.4857600570354904E-2</v>
      </c>
      <c r="G7" s="399">
        <f t="shared" ref="G7:G56" si="2">-K7/J7</f>
        <v>1.5456275993707304E-2</v>
      </c>
      <c r="H7" s="655"/>
      <c r="I7" s="330">
        <f>'0100'!I$128</f>
        <v>282098.03999999998</v>
      </c>
      <c r="J7" s="330">
        <f>I7-'0100'!I$53</f>
        <v>271171.39999999997</v>
      </c>
      <c r="K7" s="330">
        <f>'0100'!I$135</f>
        <v>-4191.3</v>
      </c>
      <c r="L7" s="330">
        <f>I7+K7</f>
        <v>277906.74</v>
      </c>
      <c r="M7" s="331">
        <f>'0100'!I$145</f>
        <v>32140.48</v>
      </c>
      <c r="N7" s="194"/>
      <c r="O7" s="664">
        <f>'0100'!E30</f>
        <v>11</v>
      </c>
      <c r="Q7" s="331">
        <f>I7/O7</f>
        <v>25645.276363636363</v>
      </c>
      <c r="R7" s="331">
        <f t="shared" ref="R7:R50" si="3">K7/O7</f>
        <v>-381.02727272727276</v>
      </c>
      <c r="S7" s="331">
        <f>L7/O7</f>
        <v>25264.249090909088</v>
      </c>
      <c r="U7" s="331">
        <f>IF(D7="H",S7,0)</f>
        <v>0</v>
      </c>
      <c r="V7" s="331">
        <f t="shared" si="0"/>
        <v>0</v>
      </c>
      <c r="W7" s="331">
        <f t="shared" si="1"/>
        <v>25264.249090909088</v>
      </c>
    </row>
    <row r="8" spans="1:23" x14ac:dyDescent="0.2">
      <c r="A8" s="191">
        <v>3</v>
      </c>
      <c r="B8" s="320" t="s">
        <v>158</v>
      </c>
      <c r="C8" s="321" t="s">
        <v>190</v>
      </c>
      <c r="D8" s="377" t="str">
        <f>'1461'!G$135</f>
        <v>H</v>
      </c>
      <c r="E8" s="377" t="str">
        <f>'1461'!H$133</f>
        <v/>
      </c>
      <c r="F8" s="329">
        <f>-K8/I8</f>
        <v>6.7998914783093225E-3</v>
      </c>
      <c r="G8" s="399">
        <f t="shared" si="2"/>
        <v>7.1491898677382044E-3</v>
      </c>
      <c r="H8" s="322"/>
      <c r="I8" s="330">
        <f>'1461'!I$128</f>
        <v>5927404.8899999987</v>
      </c>
      <c r="J8" s="330">
        <f>I8-'1461'!I$53</f>
        <v>5637801.0299999984</v>
      </c>
      <c r="K8" s="330">
        <f>'1461'!I$135</f>
        <v>-40305.71</v>
      </c>
      <c r="L8" s="330">
        <f>I8+K8</f>
        <v>5887099.1799999988</v>
      </c>
      <c r="M8" s="331">
        <f>'1461'!I$145</f>
        <v>452087.81</v>
      </c>
      <c r="N8" s="201"/>
      <c r="O8" s="330">
        <f>'1461'!E$30</f>
        <v>699.38</v>
      </c>
      <c r="Q8" s="331">
        <f>I8/O8</f>
        <v>8475.2279018559275</v>
      </c>
      <c r="R8" s="331">
        <f t="shared" si="3"/>
        <v>-57.630629986559526</v>
      </c>
      <c r="S8" s="331">
        <f t="shared" ref="S8:S50" si="4">L8/O8</f>
        <v>8417.5972718693683</v>
      </c>
      <c r="U8" s="331">
        <f>IF(D8="H",S8,0)</f>
        <v>8417.5972718693683</v>
      </c>
      <c r="V8" s="331">
        <f t="shared" ref="V8:V54" si="5">ROUND(IF(E8=1,S8,0),2)</f>
        <v>0</v>
      </c>
      <c r="W8" s="331">
        <f t="shared" ref="W8:W50" si="6">IF(AND(U8=0,V8=0),S8,)</f>
        <v>0</v>
      </c>
    </row>
    <row r="9" spans="1:23" x14ac:dyDescent="0.2">
      <c r="A9" s="191">
        <v>4</v>
      </c>
      <c r="B9" s="320" t="s">
        <v>159</v>
      </c>
      <c r="C9" s="321" t="s">
        <v>192</v>
      </c>
      <c r="D9" s="377" t="str">
        <f>'1571'!G$135</f>
        <v>H</v>
      </c>
      <c r="E9" s="377" t="str">
        <f>'1571'!H$133</f>
        <v/>
      </c>
      <c r="F9" s="329">
        <f t="shared" ref="F9:F51" si="7">-K9/I9</f>
        <v>4.3030106702952146E-3</v>
      </c>
      <c r="G9" s="399">
        <f t="shared" si="2"/>
        <v>4.4857531743573006E-3</v>
      </c>
      <c r="H9" s="322"/>
      <c r="I9" s="330">
        <f>'1571'!I$128</f>
        <v>9540250.5700000003</v>
      </c>
      <c r="J9" s="330">
        <f>I9-'1571'!I$53</f>
        <v>9151595.8200000003</v>
      </c>
      <c r="K9" s="330">
        <f>'1571'!I$135</f>
        <v>-41051.800000000003</v>
      </c>
      <c r="L9" s="330">
        <f t="shared" ref="L9:L53" si="8">I9+K9</f>
        <v>9499198.7699999996</v>
      </c>
      <c r="M9" s="331">
        <f>'1571'!I$145</f>
        <v>824241.24</v>
      </c>
      <c r="N9" s="201"/>
      <c r="O9" s="330">
        <f>'1571'!E$30</f>
        <v>1114.6400000000001</v>
      </c>
      <c r="Q9" s="331">
        <f t="shared" ref="Q9:Q50" si="9">I9/O9</f>
        <v>8559.0419956219048</v>
      </c>
      <c r="R9" s="331">
        <f t="shared" si="3"/>
        <v>-36.829649034665898</v>
      </c>
      <c r="S9" s="331">
        <f t="shared" si="4"/>
        <v>8522.2123465872373</v>
      </c>
      <c r="U9" s="331">
        <f t="shared" ref="U9:U54" si="10">IF(D9="H",S9,0)</f>
        <v>8522.2123465872373</v>
      </c>
      <c r="V9" s="331">
        <f t="shared" si="5"/>
        <v>0</v>
      </c>
      <c r="W9" s="331">
        <f t="shared" si="6"/>
        <v>0</v>
      </c>
    </row>
    <row r="10" spans="1:23" x14ac:dyDescent="0.2">
      <c r="A10" s="191">
        <v>5</v>
      </c>
      <c r="B10" s="320" t="s">
        <v>160</v>
      </c>
      <c r="C10" s="321" t="s">
        <v>193</v>
      </c>
      <c r="D10" s="377">
        <f>'2521'!G$135</f>
        <v>0</v>
      </c>
      <c r="E10" s="377">
        <f>'2521'!H$133</f>
        <v>1</v>
      </c>
      <c r="F10" s="329">
        <f t="shared" si="7"/>
        <v>2.1263524998369587E-2</v>
      </c>
      <c r="G10" s="399">
        <f t="shared" si="2"/>
        <v>2.1838118637392677E-2</v>
      </c>
      <c r="H10" s="322"/>
      <c r="I10" s="330">
        <f>'2521'!I$128</f>
        <v>1370512.18</v>
      </c>
      <c r="J10" s="330">
        <f>I10-'2521'!I$53</f>
        <v>1334451.95</v>
      </c>
      <c r="K10" s="330">
        <f>'2521'!I$135</f>
        <v>-29141.919999999998</v>
      </c>
      <c r="L10" s="330">
        <f t="shared" si="8"/>
        <v>1341370.26</v>
      </c>
      <c r="M10" s="331">
        <f>'2521'!I$145</f>
        <v>122776.57</v>
      </c>
      <c r="N10" s="201"/>
      <c r="O10" s="330">
        <f>'2521'!E$30</f>
        <v>74.16</v>
      </c>
      <c r="Q10" s="331">
        <f t="shared" si="9"/>
        <v>18480.477076591153</v>
      </c>
      <c r="R10" s="331">
        <f t="shared" si="3"/>
        <v>-392.96008629989211</v>
      </c>
      <c r="S10" s="331">
        <f t="shared" si="4"/>
        <v>18087.516990291264</v>
      </c>
      <c r="U10" s="331">
        <f t="shared" si="10"/>
        <v>0</v>
      </c>
      <c r="V10" s="331">
        <f t="shared" si="5"/>
        <v>18087.52</v>
      </c>
      <c r="W10" s="331">
        <f t="shared" si="6"/>
        <v>0</v>
      </c>
    </row>
    <row r="11" spans="1:23" x14ac:dyDescent="0.2">
      <c r="A11" s="191">
        <v>6</v>
      </c>
      <c r="B11" s="320" t="s">
        <v>161</v>
      </c>
      <c r="C11" s="321" t="s">
        <v>194</v>
      </c>
      <c r="D11" s="377">
        <f>'2531'!G$135</f>
        <v>0</v>
      </c>
      <c r="E11" s="377">
        <f>'2531'!H$133</f>
        <v>1</v>
      </c>
      <c r="F11" s="329">
        <f t="shared" si="7"/>
        <v>1.2510538799040349E-2</v>
      </c>
      <c r="G11" s="399">
        <f t="shared" si="2"/>
        <v>1.2903057608137484E-2</v>
      </c>
      <c r="H11" s="322"/>
      <c r="I11" s="330">
        <f>'2531'!I$128</f>
        <v>1506469.0899999994</v>
      </c>
      <c r="J11" s="330">
        <f>I11-'2531'!I$53</f>
        <v>1460641.3899999994</v>
      </c>
      <c r="K11" s="330">
        <f>'2531'!I$135</f>
        <v>-18846.740000000002</v>
      </c>
      <c r="L11" s="330">
        <f t="shared" si="8"/>
        <v>1487622.3499999994</v>
      </c>
      <c r="M11" s="331">
        <f>'2531'!I$145</f>
        <v>141539.98000000001</v>
      </c>
      <c r="N11" s="201"/>
      <c r="O11" s="330">
        <f>'2531'!E$30</f>
        <v>49</v>
      </c>
      <c r="Q11" s="331">
        <f t="shared" si="9"/>
        <v>30744.26714285713</v>
      </c>
      <c r="R11" s="331">
        <f t="shared" si="3"/>
        <v>-384.62734693877553</v>
      </c>
      <c r="S11" s="331">
        <f t="shared" si="4"/>
        <v>30359.639795918356</v>
      </c>
      <c r="U11" s="331">
        <f t="shared" si="10"/>
        <v>0</v>
      </c>
      <c r="V11" s="331">
        <f t="shared" si="5"/>
        <v>30359.64</v>
      </c>
      <c r="W11" s="331">
        <f t="shared" si="6"/>
        <v>0</v>
      </c>
    </row>
    <row r="12" spans="1:23" x14ac:dyDescent="0.2">
      <c r="A12" s="191">
        <v>7</v>
      </c>
      <c r="B12" s="320" t="s">
        <v>162</v>
      </c>
      <c r="C12" s="321" t="s">
        <v>295</v>
      </c>
      <c r="D12" s="377">
        <f>'2791'!G$135</f>
        <v>0</v>
      </c>
      <c r="E12" s="377">
        <f>'2791'!H$133</f>
        <v>1</v>
      </c>
      <c r="F12" s="329">
        <f t="shared" si="7"/>
        <v>1.1582339338683171E-2</v>
      </c>
      <c r="G12" s="399">
        <f t="shared" si="2"/>
        <v>1.2071874396008049E-2</v>
      </c>
      <c r="H12" s="322"/>
      <c r="I12" s="330">
        <f>'2791'!I$128</f>
        <v>5388220.6499999994</v>
      </c>
      <c r="J12" s="330">
        <f>I12-'2791'!I$53</f>
        <v>5169719.129999999</v>
      </c>
      <c r="K12" s="330">
        <f>'2791'!I$135</f>
        <v>-62408.2</v>
      </c>
      <c r="L12" s="330">
        <f t="shared" si="8"/>
        <v>5325812.4499999993</v>
      </c>
      <c r="M12" s="331">
        <f>'2791'!I$145</f>
        <v>493269.72</v>
      </c>
      <c r="N12" s="201"/>
      <c r="O12" s="330">
        <f>'2791'!E$30</f>
        <v>164</v>
      </c>
      <c r="Q12" s="331">
        <f t="shared" si="9"/>
        <v>32855.003963414631</v>
      </c>
      <c r="R12" s="331">
        <f t="shared" si="3"/>
        <v>-380.53780487804875</v>
      </c>
      <c r="S12" s="331">
        <f t="shared" si="4"/>
        <v>32474.466158536579</v>
      </c>
      <c r="U12" s="331">
        <f t="shared" si="10"/>
        <v>0</v>
      </c>
      <c r="V12" s="331">
        <f t="shared" si="5"/>
        <v>32474.47</v>
      </c>
      <c r="W12" s="331">
        <f t="shared" si="6"/>
        <v>0</v>
      </c>
    </row>
    <row r="13" spans="1:23" x14ac:dyDescent="0.2">
      <c r="A13" s="191">
        <v>8</v>
      </c>
      <c r="B13" s="320" t="s">
        <v>163</v>
      </c>
      <c r="C13" s="323" t="s">
        <v>377</v>
      </c>
      <c r="D13" s="377">
        <f>'2801'!G$135</f>
        <v>0</v>
      </c>
      <c r="E13" s="377" t="str">
        <f>'2801'!H$133</f>
        <v/>
      </c>
      <c r="F13" s="329">
        <f t="shared" si="7"/>
        <v>2.0614955604750247E-2</v>
      </c>
      <c r="G13" s="399">
        <f t="shared" si="2"/>
        <v>2.1588945686194155E-2</v>
      </c>
      <c r="H13" s="322"/>
      <c r="I13" s="330">
        <f>'2801'!I$128</f>
        <v>5321689.8499999996</v>
      </c>
      <c r="J13" s="330">
        <f>I13-'2801'!I$53</f>
        <v>5081600.63</v>
      </c>
      <c r="K13" s="330">
        <f>'2801'!I$135</f>
        <v>-109706.4</v>
      </c>
      <c r="L13" s="330">
        <f t="shared" si="8"/>
        <v>5211983.4499999993</v>
      </c>
      <c r="M13" s="331">
        <f>'2801'!I$145</f>
        <v>430636.58</v>
      </c>
      <c r="N13" s="201"/>
      <c r="O13" s="330">
        <f>'2801'!E$30</f>
        <v>579</v>
      </c>
      <c r="Q13" s="331">
        <f t="shared" si="9"/>
        <v>9191.1741796200331</v>
      </c>
      <c r="R13" s="331">
        <f t="shared" si="3"/>
        <v>-189.47564766839378</v>
      </c>
      <c r="S13" s="331">
        <f t="shared" si="4"/>
        <v>9001.6985319516389</v>
      </c>
      <c r="U13" s="331">
        <f t="shared" si="10"/>
        <v>0</v>
      </c>
      <c r="V13" s="331">
        <f t="shared" si="5"/>
        <v>0</v>
      </c>
      <c r="W13" s="331">
        <f t="shared" si="6"/>
        <v>9001.6985319516389</v>
      </c>
    </row>
    <row r="14" spans="1:23" x14ac:dyDescent="0.2">
      <c r="A14" s="191">
        <v>9</v>
      </c>
      <c r="B14" s="320" t="s">
        <v>164</v>
      </c>
      <c r="C14" s="321" t="s">
        <v>196</v>
      </c>
      <c r="D14" s="377" t="str">
        <f>'2911'!G$135</f>
        <v>H</v>
      </c>
      <c r="E14" s="377" t="str">
        <f>'2911'!H$133</f>
        <v/>
      </c>
      <c r="F14" s="329">
        <f t="shared" si="7"/>
        <v>6.7685568360707389E-3</v>
      </c>
      <c r="G14" s="399">
        <f t="shared" si="2"/>
        <v>7.0547726957564429E-3</v>
      </c>
      <c r="H14" s="322"/>
      <c r="I14" s="330">
        <f>'2911'!I$128</f>
        <v>6139846.5</v>
      </c>
      <c r="J14" s="330">
        <f>I14-'2911'!I$53</f>
        <v>5890749.6799999997</v>
      </c>
      <c r="K14" s="330">
        <f>'2911'!I$135</f>
        <v>-41557.9</v>
      </c>
      <c r="L14" s="330">
        <f t="shared" si="8"/>
        <v>6098288.5999999996</v>
      </c>
      <c r="M14" s="331">
        <f>'2911'!I$145</f>
        <v>542615.68000000005</v>
      </c>
      <c r="N14" s="201"/>
      <c r="O14" s="330">
        <f>'2911'!E$30</f>
        <v>708.74</v>
      </c>
      <c r="Q14" s="331">
        <f t="shared" si="9"/>
        <v>8663.0449812343031</v>
      </c>
      <c r="R14" s="331">
        <f t="shared" si="3"/>
        <v>-58.636312328921747</v>
      </c>
      <c r="S14" s="331">
        <f t="shared" si="4"/>
        <v>8604.4086689053802</v>
      </c>
      <c r="U14" s="331">
        <f t="shared" si="10"/>
        <v>8604.4086689053802</v>
      </c>
      <c r="V14" s="331">
        <f t="shared" si="5"/>
        <v>0</v>
      </c>
      <c r="W14" s="331">
        <f t="shared" si="6"/>
        <v>0</v>
      </c>
    </row>
    <row r="15" spans="1:23" x14ac:dyDescent="0.2">
      <c r="A15" s="191">
        <v>10</v>
      </c>
      <c r="B15" s="320" t="s">
        <v>165</v>
      </c>
      <c r="C15" s="321" t="s">
        <v>197</v>
      </c>
      <c r="D15" s="377">
        <f>'2941'!G$135</f>
        <v>0</v>
      </c>
      <c r="E15" s="377">
        <f>'2941'!H$133</f>
        <v>1</v>
      </c>
      <c r="F15" s="329">
        <f t="shared" si="7"/>
        <v>9.0578390737061244E-3</v>
      </c>
      <c r="G15" s="399">
        <f t="shared" si="2"/>
        <v>9.4897314643048718E-3</v>
      </c>
      <c r="H15" s="322"/>
      <c r="I15" s="330">
        <f>'2941'!I$128</f>
        <v>10494798.949999999</v>
      </c>
      <c r="J15" s="330">
        <f>I15-'2941'!I$53</f>
        <v>10017164.379999999</v>
      </c>
      <c r="K15" s="330">
        <f>'2941'!I$135</f>
        <v>-95060.2</v>
      </c>
      <c r="L15" s="330">
        <f t="shared" si="8"/>
        <v>10399738.75</v>
      </c>
      <c r="M15" s="331">
        <f>'2941'!I$145</f>
        <v>864585.46</v>
      </c>
      <c r="N15" s="201"/>
      <c r="O15" s="330">
        <f>'2941'!E$30</f>
        <v>381</v>
      </c>
      <c r="Q15" s="331">
        <f t="shared" si="9"/>
        <v>27545.404068241467</v>
      </c>
      <c r="R15" s="331">
        <f t="shared" si="3"/>
        <v>-249.50183727034121</v>
      </c>
      <c r="S15" s="331">
        <f t="shared" si="4"/>
        <v>27295.902230971129</v>
      </c>
      <c r="U15" s="331">
        <f t="shared" si="10"/>
        <v>0</v>
      </c>
      <c r="V15" s="331">
        <f t="shared" si="5"/>
        <v>27295.9</v>
      </c>
      <c r="W15" s="331">
        <f t="shared" si="6"/>
        <v>0</v>
      </c>
    </row>
    <row r="16" spans="1:23" x14ac:dyDescent="0.2">
      <c r="A16" s="191">
        <v>11</v>
      </c>
      <c r="B16" s="320" t="s">
        <v>166</v>
      </c>
      <c r="C16" s="323" t="s">
        <v>386</v>
      </c>
      <c r="D16" s="377">
        <f>'3083'!G$135</f>
        <v>0</v>
      </c>
      <c r="E16" s="377">
        <f>'3083'!H$133</f>
        <v>1</v>
      </c>
      <c r="F16" s="329">
        <f t="shared" si="7"/>
        <v>1.0311968151287713E-2</v>
      </c>
      <c r="G16" s="399">
        <f t="shared" si="2"/>
        <v>1.0752807625073081E-2</v>
      </c>
      <c r="H16" s="322"/>
      <c r="I16" s="330">
        <f>'3083'!I$128</f>
        <v>5928465.7499999981</v>
      </c>
      <c r="J16" s="330">
        <f>I16-'3083'!I$53</f>
        <v>5685412.7899999982</v>
      </c>
      <c r="K16" s="330">
        <f>'3083'!I$135</f>
        <v>-61134.15</v>
      </c>
      <c r="L16" s="330">
        <f t="shared" si="8"/>
        <v>5867331.5999999978</v>
      </c>
      <c r="M16" s="331">
        <f>'3083'!I$145</f>
        <v>538568.26</v>
      </c>
      <c r="N16" s="201"/>
      <c r="O16" s="330">
        <f>'3083'!E$30</f>
        <v>161</v>
      </c>
      <c r="Q16" s="331">
        <f t="shared" si="9"/>
        <v>36822.768633540363</v>
      </c>
      <c r="R16" s="331">
        <f t="shared" si="3"/>
        <v>-379.71521739130435</v>
      </c>
      <c r="S16" s="331">
        <f t="shared" si="4"/>
        <v>36443.053416149058</v>
      </c>
      <c r="U16" s="331">
        <f t="shared" si="10"/>
        <v>0</v>
      </c>
      <c r="V16" s="331">
        <f t="shared" si="5"/>
        <v>36443.050000000003</v>
      </c>
      <c r="W16" s="331">
        <f t="shared" si="6"/>
        <v>0</v>
      </c>
    </row>
    <row r="17" spans="1:26" x14ac:dyDescent="0.2">
      <c r="A17" s="191">
        <v>12</v>
      </c>
      <c r="B17" s="320" t="s">
        <v>167</v>
      </c>
      <c r="C17" s="323" t="s">
        <v>385</v>
      </c>
      <c r="D17" s="378">
        <f>'3345'!G$135</f>
        <v>0</v>
      </c>
      <c r="E17" s="378">
        <f>'3345'!H$133</f>
        <v>1</v>
      </c>
      <c r="F17" s="329">
        <f t="shared" si="7"/>
        <v>2.7150236819188621E-2</v>
      </c>
      <c r="G17" s="399">
        <f t="shared" si="2"/>
        <v>2.7783501639201305E-2</v>
      </c>
      <c r="H17" s="322"/>
      <c r="I17" s="330">
        <f>'3345'!I$128</f>
        <v>1149072.8499999999</v>
      </c>
      <c r="J17" s="330">
        <f>I17-'3345'!I$53</f>
        <v>1122882.22</v>
      </c>
      <c r="K17" s="330">
        <f>'3345'!I$135</f>
        <v>-31197.599999999999</v>
      </c>
      <c r="L17" s="330">
        <f t="shared" si="8"/>
        <v>1117875.2499999998</v>
      </c>
      <c r="M17" s="331">
        <f>'3345'!I$145</f>
        <v>98560.43</v>
      </c>
      <c r="N17" s="201"/>
      <c r="O17" s="330">
        <f>'3345'!E$30</f>
        <v>77</v>
      </c>
      <c r="Q17" s="331">
        <f t="shared" si="9"/>
        <v>14923.024025974024</v>
      </c>
      <c r="R17" s="331">
        <f t="shared" si="3"/>
        <v>-405.16363636363633</v>
      </c>
      <c r="S17" s="331">
        <f t="shared" si="4"/>
        <v>14517.860389610387</v>
      </c>
      <c r="U17" s="331">
        <f t="shared" si="10"/>
        <v>0</v>
      </c>
      <c r="V17" s="331">
        <f t="shared" si="5"/>
        <v>14517.86</v>
      </c>
      <c r="W17" s="331">
        <f t="shared" si="6"/>
        <v>0</v>
      </c>
      <c r="Z17" s="295"/>
    </row>
    <row r="18" spans="1:26" x14ac:dyDescent="0.2">
      <c r="A18" s="191">
        <v>13</v>
      </c>
      <c r="B18" s="320" t="s">
        <v>168</v>
      </c>
      <c r="C18" s="321" t="s">
        <v>200</v>
      </c>
      <c r="D18" s="377" t="str">
        <f>'3381'!G$135</f>
        <v>H</v>
      </c>
      <c r="E18" s="377" t="str">
        <f>'3381'!H$133</f>
        <v/>
      </c>
      <c r="F18" s="329">
        <f t="shared" si="7"/>
        <v>4.5602591092031011E-3</v>
      </c>
      <c r="G18" s="399">
        <f t="shared" si="2"/>
        <v>4.775548968973648E-3</v>
      </c>
      <c r="H18" s="322"/>
      <c r="I18" s="330">
        <f>'3381'!I$128</f>
        <v>9080992.7699999996</v>
      </c>
      <c r="J18" s="330">
        <f>I18-'3381'!I$53</f>
        <v>8671606.1899999995</v>
      </c>
      <c r="K18" s="330">
        <f>'3381'!I$135</f>
        <v>-41411.68</v>
      </c>
      <c r="L18" s="330">
        <f t="shared" si="8"/>
        <v>9039581.0899999999</v>
      </c>
      <c r="M18" s="331">
        <f>'3381'!I$145</f>
        <v>752295.59</v>
      </c>
      <c r="N18" s="201"/>
      <c r="O18" s="330">
        <f>'3381'!E$30</f>
        <v>1047</v>
      </c>
      <c r="Q18" s="331">
        <f t="shared" si="9"/>
        <v>8673.3455300859587</v>
      </c>
      <c r="R18" s="331">
        <f t="shared" si="3"/>
        <v>-39.552702960840499</v>
      </c>
      <c r="S18" s="331">
        <f t="shared" si="4"/>
        <v>8633.7928271251185</v>
      </c>
      <c r="U18" s="331">
        <f t="shared" si="10"/>
        <v>8633.7928271251185</v>
      </c>
      <c r="V18" s="331">
        <f t="shared" si="5"/>
        <v>0</v>
      </c>
      <c r="W18" s="331">
        <f t="shared" si="6"/>
        <v>0</v>
      </c>
      <c r="Z18" s="295"/>
    </row>
    <row r="19" spans="1:26" x14ac:dyDescent="0.2">
      <c r="A19" s="191">
        <v>14</v>
      </c>
      <c r="B19" s="320" t="s">
        <v>169</v>
      </c>
      <c r="C19" s="321" t="s">
        <v>202</v>
      </c>
      <c r="D19" s="377">
        <f>'3382'!G$135</f>
        <v>0</v>
      </c>
      <c r="E19" s="377" t="str">
        <f>'3382'!H$133</f>
        <v/>
      </c>
      <c r="F19" s="329">
        <f t="shared" si="7"/>
        <v>4.4290143974061516E-2</v>
      </c>
      <c r="G19" s="399">
        <f t="shared" si="2"/>
        <v>4.6125462561074519E-2</v>
      </c>
      <c r="H19" s="322"/>
      <c r="I19" s="330">
        <f>'3382'!I$128</f>
        <v>2485560.2199999997</v>
      </c>
      <c r="J19" s="330">
        <f>I19-'3382'!I$53</f>
        <v>2386660.5099999998</v>
      </c>
      <c r="K19" s="330">
        <f>'3382'!I$135</f>
        <v>-110085.82</v>
      </c>
      <c r="L19" s="330">
        <f t="shared" si="8"/>
        <v>2375474.4</v>
      </c>
      <c r="M19" s="331">
        <f>'3382'!I$145</f>
        <v>207711.94</v>
      </c>
      <c r="N19" s="201"/>
      <c r="O19" s="330">
        <f>'3382'!E$30</f>
        <v>271</v>
      </c>
      <c r="Q19" s="331">
        <f t="shared" si="9"/>
        <v>9171.8089298892974</v>
      </c>
      <c r="R19" s="331">
        <f t="shared" si="3"/>
        <v>-406.22073800738008</v>
      </c>
      <c r="S19" s="331">
        <f t="shared" si="4"/>
        <v>8765.5881918819177</v>
      </c>
      <c r="U19" s="331">
        <f t="shared" si="10"/>
        <v>0</v>
      </c>
      <c r="V19" s="331">
        <f t="shared" si="5"/>
        <v>0</v>
      </c>
      <c r="W19" s="331">
        <f t="shared" si="6"/>
        <v>8765.5881918819177</v>
      </c>
    </row>
    <row r="20" spans="1:26" x14ac:dyDescent="0.2">
      <c r="A20" s="191">
        <v>15</v>
      </c>
      <c r="B20" s="320" t="s">
        <v>170</v>
      </c>
      <c r="C20" s="321" t="s">
        <v>204</v>
      </c>
      <c r="D20" s="377">
        <f>'3391'!G$135</f>
        <v>0</v>
      </c>
      <c r="E20" s="377">
        <f>'3391'!H$133</f>
        <v>1</v>
      </c>
      <c r="F20" s="329" t="e">
        <f t="shared" si="7"/>
        <v>#DIV/0!</v>
      </c>
      <c r="G20" s="399"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4.7616006006667488E-2</v>
      </c>
      <c r="G21" s="399">
        <f t="shared" si="2"/>
        <v>5.0000003012569218E-2</v>
      </c>
      <c r="H21" s="322"/>
      <c r="I21" s="330">
        <f>'3394'!I$128</f>
        <v>1742809.9700000002</v>
      </c>
      <c r="J21" s="330">
        <f>I21-'3394'!I$53</f>
        <v>1659712.9000000001</v>
      </c>
      <c r="K21" s="330">
        <f>'3394'!I$135</f>
        <v>-82985.649999999994</v>
      </c>
      <c r="L21" s="330">
        <f t="shared" si="8"/>
        <v>1659824.3200000003</v>
      </c>
      <c r="M21" s="331">
        <f>'3394'!I$145</f>
        <v>133747.97</v>
      </c>
      <c r="N21" s="201"/>
      <c r="O21" s="330">
        <f>'3394'!E$30</f>
        <v>192</v>
      </c>
      <c r="Q21" s="331">
        <f t="shared" si="9"/>
        <v>9077.1352604166677</v>
      </c>
      <c r="R21" s="331">
        <f t="shared" si="3"/>
        <v>-432.2169270833333</v>
      </c>
      <c r="S21" s="331">
        <f t="shared" si="4"/>
        <v>8644.9183333333349</v>
      </c>
      <c r="U21" s="331">
        <f t="shared" si="10"/>
        <v>0</v>
      </c>
      <c r="V21" s="331">
        <f t="shared" si="5"/>
        <v>0</v>
      </c>
      <c r="W21" s="331">
        <f t="shared" si="6"/>
        <v>8644.9183333333349</v>
      </c>
    </row>
    <row r="22" spans="1:26" x14ac:dyDescent="0.2">
      <c r="A22" s="191">
        <v>17</v>
      </c>
      <c r="B22" s="320" t="s">
        <v>172</v>
      </c>
      <c r="C22" s="323" t="s">
        <v>296</v>
      </c>
      <c r="D22" s="378">
        <f>'3395'!G$135</f>
        <v>0</v>
      </c>
      <c r="E22" s="378" t="str">
        <f>'3395'!H$133</f>
        <v/>
      </c>
      <c r="F22" s="329">
        <f t="shared" si="7"/>
        <v>2.3143679730077981E-2</v>
      </c>
      <c r="G22" s="399">
        <f t="shared" si="2"/>
        <v>2.4270902863026814E-2</v>
      </c>
      <c r="H22" s="322"/>
      <c r="I22" s="330">
        <f>'3395'!I$128</f>
        <v>4492817.5299999993</v>
      </c>
      <c r="J22" s="330">
        <f>I22-'3395'!I$53</f>
        <v>4284155.8299999991</v>
      </c>
      <c r="K22" s="330">
        <f>'3395'!I$135</f>
        <v>-103980.33</v>
      </c>
      <c r="L22" s="330">
        <f t="shared" si="8"/>
        <v>4388837.1999999993</v>
      </c>
      <c r="M22" s="331">
        <f>'3395'!I$145</f>
        <v>361457.36</v>
      </c>
      <c r="N22" s="201"/>
      <c r="O22" s="330">
        <f>'3395'!E$30</f>
        <v>515.02</v>
      </c>
      <c r="Q22" s="331">
        <f t="shared" si="9"/>
        <v>8723.5787542231355</v>
      </c>
      <c r="R22" s="331">
        <f t="shared" si="3"/>
        <v>-201.89571278785291</v>
      </c>
      <c r="S22" s="331">
        <f t="shared" si="4"/>
        <v>8521.6830414352826</v>
      </c>
      <c r="U22" s="331">
        <f t="shared" si="10"/>
        <v>0</v>
      </c>
      <c r="V22" s="331">
        <f t="shared" si="5"/>
        <v>0</v>
      </c>
      <c r="W22" s="331">
        <f t="shared" si="6"/>
        <v>8521.6830414352826</v>
      </c>
    </row>
    <row r="23" spans="1:26" x14ac:dyDescent="0.2">
      <c r="A23" s="191">
        <v>18</v>
      </c>
      <c r="B23" s="320" t="s">
        <v>173</v>
      </c>
      <c r="C23" s="323" t="s">
        <v>227</v>
      </c>
      <c r="D23" s="378" t="str">
        <f>'3396'!G$135</f>
        <v>H</v>
      </c>
      <c r="E23" s="378" t="str">
        <f>'3396'!H$133</f>
        <v/>
      </c>
      <c r="F23" s="329">
        <f t="shared" si="7"/>
        <v>6.7763576331082301E-3</v>
      </c>
      <c r="G23" s="399">
        <f t="shared" si="2"/>
        <v>7.0733357948302928E-3</v>
      </c>
      <c r="H23" s="322"/>
      <c r="I23" s="330">
        <f>'3396'!I$128</f>
        <v>5895413.46</v>
      </c>
      <c r="J23" s="330">
        <f>I23-'3396'!I$53</f>
        <v>5647891.0599999996</v>
      </c>
      <c r="K23" s="330">
        <f>'3396'!I$135</f>
        <v>-39949.43</v>
      </c>
      <c r="L23" s="330">
        <f t="shared" si="8"/>
        <v>5855464.0300000003</v>
      </c>
      <c r="M23" s="331">
        <f>'3396'!I$145</f>
        <v>506201.79</v>
      </c>
      <c r="N23" s="201"/>
      <c r="O23" s="330">
        <f>'3396'!E$30</f>
        <v>706.88</v>
      </c>
      <c r="Q23" s="331">
        <f t="shared" si="9"/>
        <v>8340.0484665006788</v>
      </c>
      <c r="R23" s="331">
        <f t="shared" si="3"/>
        <v>-56.515151086464464</v>
      </c>
      <c r="S23" s="331">
        <f t="shared" si="4"/>
        <v>8283.5333154142154</v>
      </c>
      <c r="U23" s="331">
        <f t="shared" si="10"/>
        <v>8283.5333154142154</v>
      </c>
      <c r="V23" s="331">
        <f t="shared" si="5"/>
        <v>0</v>
      </c>
      <c r="W23" s="331">
        <f t="shared" si="6"/>
        <v>0</v>
      </c>
    </row>
    <row r="24" spans="1:26" x14ac:dyDescent="0.2">
      <c r="A24" s="191">
        <v>19</v>
      </c>
      <c r="B24" s="320" t="s">
        <v>174</v>
      </c>
      <c r="C24" s="321" t="s">
        <v>195</v>
      </c>
      <c r="D24" s="377">
        <f>'3398'!G$135</f>
        <v>0</v>
      </c>
      <c r="E24" s="377" t="str">
        <f>'3398'!H$133</f>
        <v/>
      </c>
      <c r="F24" s="329">
        <f t="shared" si="7"/>
        <v>4.7686220358516634E-2</v>
      </c>
      <c r="G24" s="399">
        <f t="shared" si="2"/>
        <v>4.9999998368598128E-2</v>
      </c>
      <c r="H24" s="322"/>
      <c r="I24" s="330">
        <f>'3398'!I$128</f>
        <v>964067.39000000013</v>
      </c>
      <c r="J24" s="330">
        <f>I24-'3398'!I$53</f>
        <v>919454.63000000012</v>
      </c>
      <c r="K24" s="330">
        <f>'3398'!I$135</f>
        <v>-45972.73</v>
      </c>
      <c r="L24" s="330">
        <f t="shared" si="8"/>
        <v>918094.66000000015</v>
      </c>
      <c r="M24" s="331">
        <f>'3398'!I$145</f>
        <v>72136.72</v>
      </c>
      <c r="N24" s="201"/>
      <c r="O24" s="330">
        <f>'3398'!E$30</f>
        <v>113.17999999999999</v>
      </c>
      <c r="Q24" s="331">
        <f t="shared" si="9"/>
        <v>8518.001325322497</v>
      </c>
      <c r="R24" s="331">
        <f t="shared" si="3"/>
        <v>-406.19128821346533</v>
      </c>
      <c r="S24" s="331">
        <f t="shared" si="4"/>
        <v>8111.8100371090313</v>
      </c>
      <c r="U24" s="331">
        <f t="shared" si="10"/>
        <v>0</v>
      </c>
      <c r="V24" s="331">
        <f t="shared" si="5"/>
        <v>0</v>
      </c>
      <c r="W24" s="331">
        <f t="shared" si="6"/>
        <v>8111.8100371090313</v>
      </c>
    </row>
    <row r="25" spans="1:26" x14ac:dyDescent="0.2">
      <c r="A25" s="191">
        <v>20</v>
      </c>
      <c r="B25" s="320" t="s">
        <v>175</v>
      </c>
      <c r="C25" s="321" t="s">
        <v>189</v>
      </c>
      <c r="D25" s="377">
        <f>'3400'!G$135</f>
        <v>0</v>
      </c>
      <c r="E25" s="377">
        <f>'3400'!H$133</f>
        <v>1</v>
      </c>
      <c r="F25" s="329">
        <f t="shared" si="7"/>
        <v>3.2672471856569837E-2</v>
      </c>
      <c r="G25" s="399">
        <f t="shared" si="2"/>
        <v>3.3644650303291175E-2</v>
      </c>
      <c r="H25" s="322"/>
      <c r="I25" s="330">
        <f>'3400'!I$128</f>
        <v>1172542.75</v>
      </c>
      <c r="J25" s="330">
        <f>I25-'3400'!I$53</f>
        <v>1138661.56</v>
      </c>
      <c r="K25" s="330">
        <f>'3400'!I$135</f>
        <v>-38309.870000000003</v>
      </c>
      <c r="L25" s="330">
        <f t="shared" si="8"/>
        <v>1134232.8799999999</v>
      </c>
      <c r="M25" s="331">
        <f>'3400'!I$145</f>
        <v>95159.11</v>
      </c>
      <c r="N25" s="201"/>
      <c r="O25" s="330">
        <f>'3400'!E$30</f>
        <v>95.86</v>
      </c>
      <c r="Q25" s="331">
        <f t="shared" si="9"/>
        <v>12231.825057375339</v>
      </c>
      <c r="R25" s="331">
        <f t="shared" si="3"/>
        <v>-399.6439599415815</v>
      </c>
      <c r="S25" s="331">
        <f t="shared" si="4"/>
        <v>11832.181097433757</v>
      </c>
      <c r="U25" s="331">
        <f t="shared" si="10"/>
        <v>0</v>
      </c>
      <c r="V25" s="331">
        <f t="shared" si="5"/>
        <v>11832.18</v>
      </c>
      <c r="W25" s="331">
        <f t="shared" si="6"/>
        <v>0</v>
      </c>
    </row>
    <row r="26" spans="1:26" x14ac:dyDescent="0.2">
      <c r="A26" s="191">
        <v>21</v>
      </c>
      <c r="B26" s="320" t="s">
        <v>176</v>
      </c>
      <c r="C26" s="321" t="s">
        <v>206</v>
      </c>
      <c r="D26" s="377">
        <f>'3401'!G$135</f>
        <v>0</v>
      </c>
      <c r="E26" s="377">
        <f>'3401'!H$133</f>
        <v>0</v>
      </c>
      <c r="F26" s="329">
        <f t="shared" si="7"/>
        <v>2.8226326029504305E-2</v>
      </c>
      <c r="G26" s="399">
        <f t="shared" si="2"/>
        <v>2.9364782365426018E-2</v>
      </c>
      <c r="H26" s="322"/>
      <c r="I26" s="330">
        <f>'3401'!I$128</f>
        <v>3608310.5500000003</v>
      </c>
      <c r="J26" s="330">
        <f>I26-'3401'!I$53</f>
        <v>3468418.35</v>
      </c>
      <c r="K26" s="330">
        <f>'3401'!I$135</f>
        <v>-101849.35</v>
      </c>
      <c r="L26" s="330">
        <f t="shared" si="8"/>
        <v>3506461.2</v>
      </c>
      <c r="M26" s="331">
        <f>'3401'!I$145</f>
        <v>313466.46999999997</v>
      </c>
      <c r="N26" s="201"/>
      <c r="O26" s="330">
        <f>'3401'!E$30</f>
        <v>425.67999999999995</v>
      </c>
      <c r="Q26" s="331">
        <f t="shared" si="9"/>
        <v>8476.5799426799495</v>
      </c>
      <c r="R26" s="331">
        <f t="shared" si="3"/>
        <v>-239.26270907724117</v>
      </c>
      <c r="S26" s="331">
        <f t="shared" si="4"/>
        <v>8237.3172336027073</v>
      </c>
      <c r="U26" s="331">
        <f t="shared" si="10"/>
        <v>0</v>
      </c>
      <c r="V26" s="331">
        <f t="shared" si="5"/>
        <v>0</v>
      </c>
      <c r="W26" s="331">
        <f t="shared" si="6"/>
        <v>8237.3172336027073</v>
      </c>
    </row>
    <row r="27" spans="1:26" x14ac:dyDescent="0.2">
      <c r="A27" s="191">
        <v>22</v>
      </c>
      <c r="B27" s="320" t="s">
        <v>177</v>
      </c>
      <c r="C27" s="321" t="s">
        <v>207</v>
      </c>
      <c r="D27" s="377" t="str">
        <f>'3413'!G$135</f>
        <v>H</v>
      </c>
      <c r="E27" s="377" t="str">
        <f>'3413'!H$133</f>
        <v/>
      </c>
      <c r="F27" s="329">
        <f t="shared" si="7"/>
        <v>1.2265302721336286E-2</v>
      </c>
      <c r="G27" s="399">
        <f t="shared" si="2"/>
        <v>1.281985636696442E-2</v>
      </c>
      <c r="H27" s="322"/>
      <c r="I27" s="330">
        <f>'3413'!I$128</f>
        <v>3454691.7400000007</v>
      </c>
      <c r="J27" s="330">
        <f>I27-'3413'!I$53</f>
        <v>3305250.7600000007</v>
      </c>
      <c r="K27" s="330">
        <f>'3413'!I$135</f>
        <v>-42372.84</v>
      </c>
      <c r="L27" s="330">
        <f t="shared" si="8"/>
        <v>3412318.9000000008</v>
      </c>
      <c r="M27" s="331">
        <f>'3413'!I$145</f>
        <v>293048.83</v>
      </c>
      <c r="N27" s="201"/>
      <c r="O27" s="330">
        <f>'3413'!E$30</f>
        <v>390.02000000000004</v>
      </c>
      <c r="Q27" s="331">
        <f t="shared" si="9"/>
        <v>8857.7297061689151</v>
      </c>
      <c r="R27" s="331">
        <f t="shared" si="3"/>
        <v>-108.64273626993486</v>
      </c>
      <c r="S27" s="331">
        <f t="shared" si="4"/>
        <v>8749.0869698989809</v>
      </c>
      <c r="U27" s="331">
        <f t="shared" si="10"/>
        <v>8749.0869698989809</v>
      </c>
      <c r="V27" s="331">
        <f t="shared" si="5"/>
        <v>0</v>
      </c>
      <c r="W27" s="331">
        <f t="shared" si="6"/>
        <v>0</v>
      </c>
    </row>
    <row r="28" spans="1:26" x14ac:dyDescent="0.2">
      <c r="A28" s="191">
        <v>23</v>
      </c>
      <c r="B28" s="320" t="s">
        <v>178</v>
      </c>
      <c r="C28" s="321" t="s">
        <v>208</v>
      </c>
      <c r="D28" s="377">
        <f>'3421'!G$135</f>
        <v>0</v>
      </c>
      <c r="E28" s="377" t="str">
        <f>'3421'!H$133</f>
        <v/>
      </c>
      <c r="F28" s="329">
        <f t="shared" si="7"/>
        <v>2.5093093456355405E-2</v>
      </c>
      <c r="G28" s="399">
        <f t="shared" si="2"/>
        <v>2.6086231607969197E-2</v>
      </c>
      <c r="H28" s="322"/>
      <c r="I28" s="330">
        <f>'3421'!I$128</f>
        <v>3907532.9699999997</v>
      </c>
      <c r="J28" s="330">
        <f>I28-'3421'!I$53</f>
        <v>3758767.9</v>
      </c>
      <c r="K28" s="330">
        <f>'3421'!I$135</f>
        <v>-98052.09</v>
      </c>
      <c r="L28" s="330">
        <f t="shared" si="8"/>
        <v>3809480.88</v>
      </c>
      <c r="M28" s="331">
        <f>'3421'!I$145</f>
        <v>351143.65</v>
      </c>
      <c r="N28" s="201"/>
      <c r="O28" s="330">
        <f>'3421'!E$30</f>
        <v>479.18</v>
      </c>
      <c r="Q28" s="331">
        <f t="shared" si="9"/>
        <v>8154.6245043616173</v>
      </c>
      <c r="R28" s="331">
        <f t="shared" si="3"/>
        <v>-204.62475478943193</v>
      </c>
      <c r="S28" s="331">
        <f t="shared" si="4"/>
        <v>7949.9997495721855</v>
      </c>
      <c r="U28" s="331">
        <f t="shared" si="10"/>
        <v>0</v>
      </c>
      <c r="V28" s="331">
        <f t="shared" si="5"/>
        <v>0</v>
      </c>
      <c r="W28" s="331">
        <f t="shared" si="6"/>
        <v>7949.9997495721855</v>
      </c>
    </row>
    <row r="29" spans="1:26" x14ac:dyDescent="0.2">
      <c r="A29" s="191">
        <v>24</v>
      </c>
      <c r="B29" s="320" t="s">
        <v>179</v>
      </c>
      <c r="C29" s="321" t="s">
        <v>210</v>
      </c>
      <c r="D29" s="377" t="str">
        <f>'3431'!G$135</f>
        <v>H</v>
      </c>
      <c r="E29" s="377" t="str">
        <f>'3431'!H$133</f>
        <v/>
      </c>
      <c r="F29" s="329">
        <f t="shared" si="7"/>
        <v>4.7146383941632612E-3</v>
      </c>
      <c r="G29" s="399">
        <f t="shared" si="2"/>
        <v>4.9315503740961428E-3</v>
      </c>
      <c r="H29" s="322"/>
      <c r="I29" s="330">
        <f>'3431'!I$128</f>
        <v>8784955.8200000003</v>
      </c>
      <c r="J29" s="330">
        <f>I29-'3431'!I$53</f>
        <v>8398553.5700000003</v>
      </c>
      <c r="K29" s="330">
        <f>'3431'!I$135</f>
        <v>-41417.89</v>
      </c>
      <c r="L29" s="330">
        <f t="shared" si="8"/>
        <v>8743537.9299999997</v>
      </c>
      <c r="M29" s="331">
        <f>'3431'!I$145</f>
        <v>745453.32</v>
      </c>
      <c r="N29" s="201"/>
      <c r="O29" s="330">
        <f>'3431'!E$30</f>
        <v>1013.88</v>
      </c>
      <c r="Q29" s="331">
        <f t="shared" si="9"/>
        <v>8664.6899238568676</v>
      </c>
      <c r="R29" s="331">
        <f t="shared" si="3"/>
        <v>-40.850879788535131</v>
      </c>
      <c r="S29" s="331">
        <f t="shared" si="4"/>
        <v>8623.8390440683306</v>
      </c>
      <c r="U29" s="331">
        <f t="shared" si="10"/>
        <v>8623.8390440683306</v>
      </c>
      <c r="V29" s="331">
        <f t="shared" si="5"/>
        <v>0</v>
      </c>
      <c r="W29" s="331">
        <f t="shared" si="6"/>
        <v>0</v>
      </c>
    </row>
    <row r="30" spans="1:26" x14ac:dyDescent="0.2">
      <c r="A30" s="191">
        <v>25</v>
      </c>
      <c r="B30" s="320">
        <v>3441</v>
      </c>
      <c r="C30" s="323" t="s">
        <v>228</v>
      </c>
      <c r="D30" s="378">
        <f>'3441'!G$135</f>
        <v>0</v>
      </c>
      <c r="E30" s="378" t="str">
        <f>'3441'!H$133</f>
        <v/>
      </c>
      <c r="F30" s="329">
        <f t="shared" si="7"/>
        <v>2.2666831116271886E-2</v>
      </c>
      <c r="G30" s="399">
        <f t="shared" si="2"/>
        <v>2.369219066181693E-2</v>
      </c>
      <c r="H30" s="322"/>
      <c r="I30" s="330">
        <f>'3441'!I$128</f>
        <v>4487697</v>
      </c>
      <c r="J30" s="330">
        <f>I30-'3441'!I$53</f>
        <v>4293476.76</v>
      </c>
      <c r="K30" s="330">
        <f>'3441'!I$135</f>
        <v>-101721.87</v>
      </c>
      <c r="L30" s="330">
        <f t="shared" si="8"/>
        <v>4385975.13</v>
      </c>
      <c r="M30" s="331">
        <f>'3441'!I$145</f>
        <v>367176.42</v>
      </c>
      <c r="N30" s="201"/>
      <c r="O30" s="330">
        <f>'3441'!E$30</f>
        <v>527.6</v>
      </c>
      <c r="Q30" s="331">
        <f t="shared" si="9"/>
        <v>8505.8699772554955</v>
      </c>
      <c r="R30" s="331">
        <f t="shared" si="3"/>
        <v>-192.80111827141772</v>
      </c>
      <c r="S30" s="331">
        <f t="shared" si="4"/>
        <v>8313.0688589840775</v>
      </c>
      <c r="U30" s="331">
        <f t="shared" si="10"/>
        <v>0</v>
      </c>
      <c r="V30" s="331">
        <f t="shared" si="5"/>
        <v>0</v>
      </c>
      <c r="W30" s="331">
        <f t="shared" si="6"/>
        <v>8313.0688589840775</v>
      </c>
    </row>
    <row r="31" spans="1:26" x14ac:dyDescent="0.2">
      <c r="A31" s="191">
        <v>26</v>
      </c>
      <c r="B31" s="320">
        <v>3924</v>
      </c>
      <c r="C31" s="323" t="s">
        <v>376</v>
      </c>
      <c r="D31" s="377">
        <f>'3924'!G$135</f>
        <v>0</v>
      </c>
      <c r="E31" s="377" t="str">
        <f>'3924'!H$133</f>
        <v/>
      </c>
      <c r="F31" s="329">
        <f t="shared" si="7"/>
        <v>2.7267879353174672E-2</v>
      </c>
      <c r="G31" s="399">
        <f t="shared" si="2"/>
        <v>2.8589725628114949E-2</v>
      </c>
      <c r="H31" s="322"/>
      <c r="I31" s="330">
        <f>'3924'!I$128</f>
        <v>3757881.8899999997</v>
      </c>
      <c r="J31" s="330">
        <f>I31-'3924'!I$53</f>
        <v>3584136.1799999997</v>
      </c>
      <c r="K31" s="330">
        <f>'3924'!I$135</f>
        <v>-102469.47</v>
      </c>
      <c r="L31" s="330">
        <f t="shared" si="8"/>
        <v>3655412.4199999995</v>
      </c>
      <c r="M31" s="331">
        <f>'3924'!I$145</f>
        <v>292239.55</v>
      </c>
      <c r="N31" s="201"/>
      <c r="O31" s="330">
        <f>'3924'!E$30</f>
        <v>437.21999999999997</v>
      </c>
      <c r="Q31" s="331">
        <f t="shared" si="9"/>
        <v>8594.9450848543074</v>
      </c>
      <c r="R31" s="331">
        <f t="shared" si="3"/>
        <v>-234.36592562096888</v>
      </c>
      <c r="S31" s="331">
        <f t="shared" si="4"/>
        <v>8360.5791592333371</v>
      </c>
      <c r="U31" s="331">
        <f t="shared" si="10"/>
        <v>0</v>
      </c>
      <c r="V31" s="331">
        <f t="shared" si="5"/>
        <v>0</v>
      </c>
      <c r="W31" s="331">
        <f t="shared" si="6"/>
        <v>8360.5791592333371</v>
      </c>
    </row>
    <row r="32" spans="1:26" x14ac:dyDescent="0.2">
      <c r="A32" s="191">
        <v>27</v>
      </c>
      <c r="B32" s="320" t="s">
        <v>180</v>
      </c>
      <c r="C32" s="321" t="s">
        <v>191</v>
      </c>
      <c r="D32" s="377" t="str">
        <f>'3941'!G$135</f>
        <v>H</v>
      </c>
      <c r="E32" s="377" t="str">
        <f>'3941'!H$133</f>
        <v/>
      </c>
      <c r="F32" s="329">
        <f t="shared" si="7"/>
        <v>1.9011147567040445E-2</v>
      </c>
      <c r="G32" s="399">
        <f t="shared" si="2"/>
        <v>1.9999998045601455E-2</v>
      </c>
      <c r="H32" s="322"/>
      <c r="I32" s="330">
        <f>'3941'!I$128</f>
        <v>2045465.1600000001</v>
      </c>
      <c r="J32" s="330">
        <f>I32-'3941'!I$53</f>
        <v>1944332.1900000002</v>
      </c>
      <c r="K32" s="330">
        <f>'3941'!I$135</f>
        <v>-38886.639999999999</v>
      </c>
      <c r="L32" s="330">
        <f>I32+K32</f>
        <v>2006578.5200000003</v>
      </c>
      <c r="M32" s="331">
        <f>'3941'!I$145</f>
        <v>155101.01</v>
      </c>
      <c r="N32" s="201"/>
      <c r="O32" s="330">
        <f>'3941'!E$30</f>
        <v>229</v>
      </c>
      <c r="Q32" s="331">
        <f t="shared" si="9"/>
        <v>8932.1622707423594</v>
      </c>
      <c r="R32" s="331">
        <f t="shared" si="3"/>
        <v>-169.81065502183407</v>
      </c>
      <c r="S32" s="331">
        <f t="shared" si="4"/>
        <v>8762.3516157205249</v>
      </c>
      <c r="U32" s="331">
        <f t="shared" si="10"/>
        <v>8762.3516157205249</v>
      </c>
      <c r="V32" s="331">
        <f t="shared" si="5"/>
        <v>0</v>
      </c>
      <c r="W32" s="331">
        <f t="shared" si="6"/>
        <v>0</v>
      </c>
    </row>
    <row r="33" spans="1:23" x14ac:dyDescent="0.2">
      <c r="A33" s="191">
        <v>28</v>
      </c>
      <c r="B33" s="320" t="s">
        <v>181</v>
      </c>
      <c r="C33" s="321" t="s">
        <v>201</v>
      </c>
      <c r="D33" s="377">
        <f>'3961'!G$135</f>
        <v>0</v>
      </c>
      <c r="E33" s="377" t="str">
        <f>'3961'!H$133</f>
        <v/>
      </c>
      <c r="F33" s="329">
        <f t="shared" si="7"/>
        <v>3.9397642610551682E-2</v>
      </c>
      <c r="G33" s="399">
        <f t="shared" si="2"/>
        <v>4.1437380963240844E-2</v>
      </c>
      <c r="H33" s="322"/>
      <c r="I33" s="330">
        <f>'3961'!I$128</f>
        <v>2572039.1700000004</v>
      </c>
      <c r="J33" s="330">
        <f>I33-'3961'!I$53</f>
        <v>2445431.5800000005</v>
      </c>
      <c r="K33" s="330">
        <f>'3961'!I$135</f>
        <v>-101332.28</v>
      </c>
      <c r="L33" s="330">
        <f t="shared" si="8"/>
        <v>2470706.8900000006</v>
      </c>
      <c r="M33" s="331">
        <f>'3961'!I$145</f>
        <v>192742.05</v>
      </c>
      <c r="N33" s="201"/>
      <c r="O33" s="330">
        <f>'3961'!E$30</f>
        <v>301.65999999999997</v>
      </c>
      <c r="Q33" s="331">
        <f t="shared" si="9"/>
        <v>8526.2851223231482</v>
      </c>
      <c r="R33" s="331">
        <f t="shared" si="3"/>
        <v>-335.9155340449513</v>
      </c>
      <c r="S33" s="331">
        <f t="shared" si="4"/>
        <v>8190.3695882781967</v>
      </c>
      <c r="U33" s="331">
        <f t="shared" si="10"/>
        <v>0</v>
      </c>
      <c r="V33" s="331">
        <f t="shared" si="5"/>
        <v>0</v>
      </c>
      <c r="W33" s="331">
        <f t="shared" si="6"/>
        <v>8190.3695882781967</v>
      </c>
    </row>
    <row r="34" spans="1:23" x14ac:dyDescent="0.2">
      <c r="A34" s="191">
        <v>29</v>
      </c>
      <c r="B34" s="320" t="s">
        <v>182</v>
      </c>
      <c r="C34" s="321" t="s">
        <v>341</v>
      </c>
      <c r="D34" s="377">
        <f>'3971'!G$135</f>
        <v>0</v>
      </c>
      <c r="E34" s="377" t="str">
        <f>'3971'!H$133</f>
        <v/>
      </c>
      <c r="F34" s="329">
        <f t="shared" si="7"/>
        <v>1.8901326428919809E-2</v>
      </c>
      <c r="G34" s="399">
        <f t="shared" si="2"/>
        <v>1.9807313674917885E-2</v>
      </c>
      <c r="H34" s="322"/>
      <c r="I34" s="330">
        <f>'3971'!I$128</f>
        <v>5360049.7499999991</v>
      </c>
      <c r="J34" s="330">
        <f>I34-'3971'!I$53</f>
        <v>5114880.879999999</v>
      </c>
      <c r="K34" s="330">
        <f>'3971'!I$135</f>
        <v>-101312.05</v>
      </c>
      <c r="L34" s="330">
        <f t="shared" si="8"/>
        <v>5258737.6999999993</v>
      </c>
      <c r="M34" s="331">
        <f>'3971'!I$145</f>
        <v>422865.75</v>
      </c>
      <c r="N34" s="201"/>
      <c r="O34" s="330">
        <f>'3971'!E$30</f>
        <v>631.07999999999993</v>
      </c>
      <c r="Q34" s="331">
        <f t="shared" si="9"/>
        <v>8493.4552671610563</v>
      </c>
      <c r="R34" s="331">
        <f t="shared" si="3"/>
        <v>-160.53757051403946</v>
      </c>
      <c r="S34" s="331">
        <f t="shared" si="4"/>
        <v>8332.9176966470168</v>
      </c>
      <c r="U34" s="331">
        <f t="shared" si="10"/>
        <v>0</v>
      </c>
      <c r="V34" s="331">
        <f t="shared" si="5"/>
        <v>0</v>
      </c>
      <c r="W34" s="331">
        <f t="shared" si="6"/>
        <v>8332.9176966470168</v>
      </c>
    </row>
    <row r="35" spans="1:23" x14ac:dyDescent="0.2">
      <c r="A35" s="191">
        <v>30</v>
      </c>
      <c r="B35" s="320" t="s">
        <v>183</v>
      </c>
      <c r="C35" s="321" t="s">
        <v>219</v>
      </c>
      <c r="D35" s="377">
        <f>'4001'!G$135</f>
        <v>0</v>
      </c>
      <c r="E35" s="377" t="str">
        <f>'4001'!H$133</f>
        <v/>
      </c>
      <c r="F35" s="329">
        <f t="shared" si="7"/>
        <v>1.7470795597377103E-2</v>
      </c>
      <c r="G35" s="399">
        <f t="shared" si="2"/>
        <v>1.8328444921498287E-2</v>
      </c>
      <c r="H35" s="322"/>
      <c r="I35" s="330">
        <f>'4001'!I$128</f>
        <v>5957164.3099999996</v>
      </c>
      <c r="J35" s="330">
        <f>I35-'4001'!I$53</f>
        <v>5678408.6399999997</v>
      </c>
      <c r="K35" s="330">
        <f>'4001'!I$135</f>
        <v>-104076.4</v>
      </c>
      <c r="L35" s="330">
        <f t="shared" si="8"/>
        <v>5853087.9099999992</v>
      </c>
      <c r="M35" s="331">
        <f>'4001'!I$145</f>
        <v>476778.75</v>
      </c>
      <c r="N35" s="201"/>
      <c r="O35" s="330">
        <f>'4001'!E$30</f>
        <v>682</v>
      </c>
      <c r="Q35" s="331">
        <f t="shared" si="9"/>
        <v>8734.8450293255119</v>
      </c>
      <c r="R35" s="331">
        <f t="shared" si="3"/>
        <v>-152.60469208211143</v>
      </c>
      <c r="S35" s="331">
        <f t="shared" si="4"/>
        <v>8582.2403372434001</v>
      </c>
      <c r="U35" s="331">
        <f t="shared" si="10"/>
        <v>0</v>
      </c>
      <c r="V35" s="331">
        <f t="shared" si="5"/>
        <v>0</v>
      </c>
      <c r="W35" s="331">
        <f t="shared" si="6"/>
        <v>8582.2403372434001</v>
      </c>
    </row>
    <row r="36" spans="1:23" x14ac:dyDescent="0.2">
      <c r="A36" s="191">
        <v>31</v>
      </c>
      <c r="B36" s="320">
        <v>4002</v>
      </c>
      <c r="C36" s="321" t="s">
        <v>218</v>
      </c>
      <c r="D36" s="377">
        <f>'4002'!G$135</f>
        <v>0</v>
      </c>
      <c r="E36" s="377" t="str">
        <f>'4002'!H$133</f>
        <v/>
      </c>
      <c r="F36" s="329">
        <f t="shared" si="7"/>
        <v>1.2065043632400211E-2</v>
      </c>
      <c r="G36" s="399">
        <f t="shared" si="2"/>
        <v>1.2701187105983343E-2</v>
      </c>
      <c r="H36" s="322"/>
      <c r="I36" s="330">
        <f>'4002'!I$128</f>
        <v>8642660</v>
      </c>
      <c r="J36" s="330">
        <f>I36-'4002'!I$53</f>
        <v>8209789.2999999998</v>
      </c>
      <c r="K36" s="330">
        <f>'4002'!I$135</f>
        <v>-104274.07</v>
      </c>
      <c r="L36" s="330">
        <f t="shared" si="8"/>
        <v>8538385.9299999997</v>
      </c>
      <c r="M36" s="331">
        <f>'4002'!I$145</f>
        <v>662598.02</v>
      </c>
      <c r="N36" s="201"/>
      <c r="O36" s="330">
        <f>'4002'!E$30</f>
        <v>984.16</v>
      </c>
      <c r="Q36" s="331">
        <f t="shared" si="9"/>
        <v>8781.763127946675</v>
      </c>
      <c r="R36" s="331">
        <f t="shared" si="3"/>
        <v>-105.95235530808</v>
      </c>
      <c r="S36" s="331">
        <f t="shared" si="4"/>
        <v>8675.8107726385952</v>
      </c>
      <c r="U36" s="331">
        <f t="shared" si="10"/>
        <v>0</v>
      </c>
      <c r="V36" s="331">
        <f t="shared" si="5"/>
        <v>0</v>
      </c>
      <c r="W36" s="331">
        <f t="shared" si="6"/>
        <v>8675.8107726385952</v>
      </c>
    </row>
    <row r="37" spans="1:23" x14ac:dyDescent="0.2">
      <c r="A37" s="191">
        <v>32</v>
      </c>
      <c r="B37" s="320">
        <v>4012</v>
      </c>
      <c r="C37" s="321" t="s">
        <v>221</v>
      </c>
      <c r="D37" s="377" t="str">
        <f>'4012'!G$135</f>
        <v>H</v>
      </c>
      <c r="E37" s="377" t="str">
        <f>'4012'!H$133</f>
        <v/>
      </c>
      <c r="F37" s="329">
        <f t="shared" si="7"/>
        <v>7.9706092728931942E-3</v>
      </c>
      <c r="G37" s="399">
        <f t="shared" si="2"/>
        <v>8.3870093571108625E-3</v>
      </c>
      <c r="H37" s="322"/>
      <c r="I37" s="330">
        <f>'4012'!I$128</f>
        <v>4882141.21</v>
      </c>
      <c r="J37" s="330">
        <f>I37-'4012'!I$53</f>
        <v>4639751.59</v>
      </c>
      <c r="K37" s="330">
        <f>'4012'!I$135</f>
        <v>-38913.64</v>
      </c>
      <c r="L37" s="330">
        <f t="shared" si="8"/>
        <v>4843227.57</v>
      </c>
      <c r="M37" s="331">
        <f>'4012'!I$145</f>
        <v>375074.97</v>
      </c>
      <c r="N37" s="201"/>
      <c r="O37" s="330">
        <f>'4012'!E$30</f>
        <v>596.16</v>
      </c>
      <c r="Q37" s="331">
        <f t="shared" si="9"/>
        <v>8189.313623859367</v>
      </c>
      <c r="R37" s="331">
        <f t="shared" si="3"/>
        <v>-65.273819108964034</v>
      </c>
      <c r="S37" s="331">
        <f t="shared" si="4"/>
        <v>8124.0398047504032</v>
      </c>
      <c r="U37" s="331">
        <f t="shared" si="10"/>
        <v>8124.0398047504032</v>
      </c>
      <c r="V37" s="331">
        <f t="shared" si="5"/>
        <v>0</v>
      </c>
      <c r="W37" s="331">
        <f t="shared" si="6"/>
        <v>0</v>
      </c>
    </row>
    <row r="38" spans="1:23" x14ac:dyDescent="0.2">
      <c r="A38" s="191">
        <v>33</v>
      </c>
      <c r="B38" s="320">
        <v>4013</v>
      </c>
      <c r="C38" s="321" t="s">
        <v>223</v>
      </c>
      <c r="D38" s="377" t="str">
        <f>'4013'!G$135</f>
        <v>H</v>
      </c>
      <c r="E38" s="377" t="str">
        <f>'4013'!H$133</f>
        <v/>
      </c>
      <c r="F38" s="329">
        <f t="shared" si="7"/>
        <v>4.6750024355415327E-3</v>
      </c>
      <c r="G38" s="399">
        <f t="shared" si="2"/>
        <v>4.8955296040537662E-3</v>
      </c>
      <c r="H38" s="322"/>
      <c r="I38" s="330">
        <f>'4013'!I$128</f>
        <v>8082083.4899999984</v>
      </c>
      <c r="J38" s="330">
        <f>I38-'4013'!I$53</f>
        <v>7718012.7699999986</v>
      </c>
      <c r="K38" s="330">
        <f>'4013'!I$135</f>
        <v>-37783.760000000002</v>
      </c>
      <c r="L38" s="330">
        <f t="shared" si="8"/>
        <v>8044299.7299999986</v>
      </c>
      <c r="M38" s="331">
        <f>'4013'!I$145</f>
        <v>680253.26</v>
      </c>
      <c r="N38" s="201"/>
      <c r="O38" s="330">
        <f>'4013'!E$30</f>
        <v>1021.3399999999999</v>
      </c>
      <c r="Q38" s="331">
        <f t="shared" si="9"/>
        <v>7913.2154718311231</v>
      </c>
      <c r="R38" s="331">
        <f t="shared" si="3"/>
        <v>-36.99430160377544</v>
      </c>
      <c r="S38" s="331">
        <f t="shared" si="4"/>
        <v>7876.221170227348</v>
      </c>
      <c r="U38" s="331">
        <f t="shared" si="10"/>
        <v>7876.221170227348</v>
      </c>
      <c r="V38" s="331">
        <f t="shared" si="5"/>
        <v>0</v>
      </c>
      <c r="W38" s="331">
        <f t="shared" si="6"/>
        <v>0</v>
      </c>
    </row>
    <row r="39" spans="1:23" x14ac:dyDescent="0.2">
      <c r="A39" s="191">
        <v>34</v>
      </c>
      <c r="B39" s="320">
        <v>4020</v>
      </c>
      <c r="C39" s="323" t="s">
        <v>347</v>
      </c>
      <c r="D39" s="377">
        <f>'4020'!G$135</f>
        <v>0</v>
      </c>
      <c r="E39" s="377" t="str">
        <f>'4020'!H$133</f>
        <v/>
      </c>
      <c r="F39" s="329">
        <f t="shared" si="7"/>
        <v>9.6053205009363242E-3</v>
      </c>
      <c r="G39" s="399">
        <f t="shared" si="2"/>
        <v>1.003645249322121E-2</v>
      </c>
      <c r="H39" s="322"/>
      <c r="I39" s="330">
        <f>'4020'!I$128</f>
        <v>10839818.41</v>
      </c>
      <c r="J39" s="330">
        <f>I39-'4020'!I$53</f>
        <v>10374176.540000001</v>
      </c>
      <c r="K39" s="330">
        <f>'4020'!I$135</f>
        <v>-104119.93</v>
      </c>
      <c r="L39" s="330">
        <f t="shared" si="8"/>
        <v>10735698.48</v>
      </c>
      <c r="M39" s="331">
        <f>'4020'!I$145</f>
        <v>925462.84</v>
      </c>
      <c r="N39" s="201"/>
      <c r="O39" s="330">
        <f>'4020'!E$30</f>
        <v>1245.4599999999998</v>
      </c>
      <c r="Q39" s="331">
        <f t="shared" si="9"/>
        <v>8703.46571547862</v>
      </c>
      <c r="R39" s="331">
        <f t="shared" si="3"/>
        <v>-83.599577666083221</v>
      </c>
      <c r="S39" s="331">
        <f t="shared" si="4"/>
        <v>8619.8661378125362</v>
      </c>
      <c r="U39" s="331">
        <f t="shared" si="10"/>
        <v>0</v>
      </c>
      <c r="V39" s="331">
        <f t="shared" si="5"/>
        <v>0</v>
      </c>
      <c r="W39" s="331">
        <f t="shared" si="6"/>
        <v>8619.8661378125362</v>
      </c>
    </row>
    <row r="40" spans="1:23" x14ac:dyDescent="0.2">
      <c r="A40" s="191">
        <v>35</v>
      </c>
      <c r="B40" s="320">
        <v>4030</v>
      </c>
      <c r="C40" s="323" t="s">
        <v>335</v>
      </c>
      <c r="D40" s="377">
        <f>'4030'!G$135</f>
        <v>0</v>
      </c>
      <c r="E40" s="377" t="str">
        <f>'4030'!H$133</f>
        <v/>
      </c>
      <c r="F40" s="329">
        <f t="shared" si="7"/>
        <v>3.9120582165756208E-2</v>
      </c>
      <c r="G40" s="399">
        <f t="shared" si="2"/>
        <v>4.1115717387624956E-2</v>
      </c>
      <c r="H40" s="322"/>
      <c r="I40" s="330">
        <f>'4030'!I$128</f>
        <v>2724502.4000000004</v>
      </c>
      <c r="J40" s="330">
        <f>I40-'4030'!I$53</f>
        <v>2592296.2500000005</v>
      </c>
      <c r="K40" s="330">
        <f>'4030'!I$135</f>
        <v>-106584.12</v>
      </c>
      <c r="L40" s="330">
        <f t="shared" si="8"/>
        <v>2617918.2800000003</v>
      </c>
      <c r="M40" s="331">
        <f>'4030'!I$145</f>
        <v>210714</v>
      </c>
      <c r="N40" s="201"/>
      <c r="O40" s="330">
        <f>'4030'!E$30</f>
        <v>304.02</v>
      </c>
      <c r="Q40" s="331">
        <f t="shared" si="9"/>
        <v>8961.5893691204546</v>
      </c>
      <c r="R40" s="331">
        <f>K40/O40</f>
        <v>-350.58259325044406</v>
      </c>
      <c r="S40" s="331">
        <f>L40/O40</f>
        <v>8611.0067758700097</v>
      </c>
      <c r="U40" s="331">
        <f t="shared" si="10"/>
        <v>0</v>
      </c>
      <c r="V40" s="331">
        <f t="shared" si="5"/>
        <v>0</v>
      </c>
      <c r="W40" s="331">
        <f>IF(AND(U40=0,V40=0),S40,)</f>
        <v>8611.0067758700097</v>
      </c>
    </row>
    <row r="41" spans="1:23" x14ac:dyDescent="0.2">
      <c r="A41" s="191">
        <v>36</v>
      </c>
      <c r="B41" s="320">
        <v>4031</v>
      </c>
      <c r="C41" s="323" t="s">
        <v>352</v>
      </c>
      <c r="D41" s="377">
        <f>'4031'!G$135</f>
        <v>0</v>
      </c>
      <c r="E41" s="377" t="str">
        <f>'4031'!H$133</f>
        <v/>
      </c>
      <c r="F41" s="329">
        <f t="shared" si="7"/>
        <v>2.5836948469920733E-2</v>
      </c>
      <c r="G41" s="399">
        <f t="shared" si="2"/>
        <v>2.7284236304369939E-2</v>
      </c>
      <c r="H41" s="322"/>
      <c r="I41" s="330">
        <f>'4031'!I$128</f>
        <v>3979900.34</v>
      </c>
      <c r="J41" s="330">
        <f>I41-'4031'!I$53</f>
        <v>3768787.1799999997</v>
      </c>
      <c r="K41" s="330">
        <f>'4031'!I$135</f>
        <v>-102828.48</v>
      </c>
      <c r="L41" s="330">
        <f t="shared" si="8"/>
        <v>3877071.86</v>
      </c>
      <c r="M41" s="331">
        <f>'4031'!I$145</f>
        <v>284716.40000000002</v>
      </c>
      <c r="N41" s="201"/>
      <c r="O41" s="330">
        <f>'4031'!E$30</f>
        <v>458.14000000000004</v>
      </c>
      <c r="Q41" s="331">
        <f t="shared" si="9"/>
        <v>8687.0832933164529</v>
      </c>
      <c r="R41" s="331">
        <f>K41/O41</f>
        <v>-224.44772340332648</v>
      </c>
      <c r="S41" s="331">
        <f>L41/O41</f>
        <v>8462.6355699131254</v>
      </c>
      <c r="U41" s="331">
        <f t="shared" si="10"/>
        <v>0</v>
      </c>
      <c r="V41" s="331">
        <f t="shared" si="5"/>
        <v>0</v>
      </c>
      <c r="W41" s="331">
        <f>IF(AND(U41=0,V41=0),S41,)</f>
        <v>8462.6355699131254</v>
      </c>
    </row>
    <row r="42" spans="1:23" x14ac:dyDescent="0.2">
      <c r="A42" s="191">
        <v>37</v>
      </c>
      <c r="B42" s="312">
        <v>4041</v>
      </c>
      <c r="C42" s="313" t="s">
        <v>225</v>
      </c>
      <c r="D42" s="379" t="str">
        <f>'4041'!G$135</f>
        <v>H</v>
      </c>
      <c r="E42" s="379" t="str">
        <f>'4041'!H$133</f>
        <v/>
      </c>
      <c r="F42" s="329">
        <f t="shared" si="7"/>
        <v>1.9137329356986074E-2</v>
      </c>
      <c r="G42" s="399">
        <f t="shared" si="2"/>
        <v>2.0000005906442384E-2</v>
      </c>
      <c r="H42" s="322"/>
      <c r="I42" s="330">
        <f>'4041'!I$128</f>
        <v>778530.25999999989</v>
      </c>
      <c r="J42" s="330">
        <f>I42-'4041'!I$53</f>
        <v>744949.27999999991</v>
      </c>
      <c r="K42" s="330">
        <f>'4041'!I$135</f>
        <v>-14898.99</v>
      </c>
      <c r="L42" s="330">
        <f t="shared" si="8"/>
        <v>763631.2699999999</v>
      </c>
      <c r="M42" s="331">
        <f>'4041'!I$145</f>
        <v>65401.79</v>
      </c>
      <c r="N42" s="201"/>
      <c r="O42" s="330">
        <f>'4041'!E$30</f>
        <v>94.7</v>
      </c>
      <c r="Q42" s="331">
        <f t="shared" si="9"/>
        <v>8221.0164730728611</v>
      </c>
      <c r="R42" s="331">
        <f t="shared" si="3"/>
        <v>-157.32829989440336</v>
      </c>
      <c r="S42" s="331">
        <f t="shared" si="4"/>
        <v>8063.688173178457</v>
      </c>
      <c r="U42" s="331">
        <f t="shared" si="10"/>
        <v>8063.688173178457</v>
      </c>
      <c r="V42" s="331">
        <f t="shared" si="5"/>
        <v>0</v>
      </c>
      <c r="W42" s="331">
        <f t="shared" si="6"/>
        <v>0</v>
      </c>
    </row>
    <row r="43" spans="1:23" x14ac:dyDescent="0.2">
      <c r="A43" s="191">
        <v>38</v>
      </c>
      <c r="B43" s="263">
        <v>4050</v>
      </c>
      <c r="C43" s="264" t="s">
        <v>216</v>
      </c>
      <c r="D43" s="380">
        <f>'4050'!G$135</f>
        <v>0</v>
      </c>
      <c r="E43" s="380" t="str">
        <f>'4050'!H$133</f>
        <v/>
      </c>
      <c r="F43" s="329">
        <f t="shared" si="7"/>
        <v>1.6344038715564391E-2</v>
      </c>
      <c r="G43" s="399">
        <f t="shared" si="2"/>
        <v>1.7184965661470049E-2</v>
      </c>
      <c r="H43" s="322"/>
      <c r="I43" s="330">
        <f>'4050'!I$128</f>
        <v>6277962.9800000004</v>
      </c>
      <c r="J43" s="330">
        <f>I43-'4050'!I$53</f>
        <v>5970757.9300000006</v>
      </c>
      <c r="K43" s="330">
        <f>'4050'!I$135</f>
        <v>-102607.27</v>
      </c>
      <c r="L43" s="330">
        <f t="shared" si="8"/>
        <v>6175355.7100000009</v>
      </c>
      <c r="M43" s="331">
        <f>'4050'!I$145</f>
        <v>489528.4</v>
      </c>
      <c r="N43" s="201"/>
      <c r="O43" s="330">
        <f>'4050'!E$30</f>
        <v>727.37999999999988</v>
      </c>
      <c r="Q43" s="331">
        <f t="shared" si="9"/>
        <v>8630.9260359097061</v>
      </c>
      <c r="R43" s="331">
        <f t="shared" si="3"/>
        <v>-141.06418928208092</v>
      </c>
      <c r="S43" s="331">
        <f t="shared" si="4"/>
        <v>8489.8618466276257</v>
      </c>
      <c r="U43" s="331">
        <f t="shared" si="10"/>
        <v>0</v>
      </c>
      <c r="V43" s="331">
        <f t="shared" si="5"/>
        <v>0</v>
      </c>
      <c r="W43" s="331">
        <f t="shared" si="6"/>
        <v>8489.8618466276257</v>
      </c>
    </row>
    <row r="44" spans="1:23" x14ac:dyDescent="0.2">
      <c r="A44" s="191">
        <v>39</v>
      </c>
      <c r="B44" s="263">
        <v>4051</v>
      </c>
      <c r="C44" s="264" t="s">
        <v>214</v>
      </c>
      <c r="D44" s="380">
        <f>'4051'!G$135</f>
        <v>0</v>
      </c>
      <c r="E44" s="380" t="str">
        <f>'4051'!H$133</f>
        <v/>
      </c>
      <c r="F44" s="329">
        <f t="shared" si="7"/>
        <v>1.5552502028419376E-2</v>
      </c>
      <c r="G44" s="399">
        <f t="shared" si="2"/>
        <v>1.6382700400766937E-2</v>
      </c>
      <c r="H44" s="322"/>
      <c r="I44" s="330">
        <f>'4051'!I$128</f>
        <v>6632541.169999999</v>
      </c>
      <c r="J44" s="330">
        <f>I44-'4051'!I$53</f>
        <v>6296435.1099999994</v>
      </c>
      <c r="K44" s="330">
        <f>'4051'!I$135</f>
        <v>-103152.61</v>
      </c>
      <c r="L44" s="330">
        <f t="shared" si="8"/>
        <v>6529388.5599999987</v>
      </c>
      <c r="M44" s="331">
        <f>'4051'!I$145</f>
        <v>501859.92</v>
      </c>
      <c r="N44" s="201"/>
      <c r="O44" s="330">
        <f>'4051'!E$30</f>
        <v>763</v>
      </c>
      <c r="Q44" s="331">
        <f t="shared" si="9"/>
        <v>8692.7145085190023</v>
      </c>
      <c r="R44" s="331">
        <f t="shared" si="3"/>
        <v>-135.19346002621231</v>
      </c>
      <c r="S44" s="331">
        <f t="shared" si="4"/>
        <v>8557.5210484927902</v>
      </c>
      <c r="U44" s="331">
        <f t="shared" si="10"/>
        <v>0</v>
      </c>
      <c r="V44" s="331">
        <f t="shared" si="5"/>
        <v>0</v>
      </c>
      <c r="W44" s="331">
        <f t="shared" si="6"/>
        <v>8557.5210484927902</v>
      </c>
    </row>
    <row r="45" spans="1:23" x14ac:dyDescent="0.2">
      <c r="A45" s="191">
        <v>40</v>
      </c>
      <c r="B45" s="263">
        <v>4061</v>
      </c>
      <c r="C45" s="265" t="s">
        <v>349</v>
      </c>
      <c r="D45" s="380">
        <f>'4061'!G$135</f>
        <v>0</v>
      </c>
      <c r="E45" s="380" t="str">
        <f>'4061'!H$133</f>
        <v/>
      </c>
      <c r="F45" s="329">
        <f t="shared" si="7"/>
        <v>1.2415799854461443E-2</v>
      </c>
      <c r="G45" s="399">
        <f t="shared" si="2"/>
        <v>1.2996194703784995E-2</v>
      </c>
      <c r="H45" s="322"/>
      <c r="I45" s="330">
        <f>'4061'!I$128</f>
        <v>8369356.080000001</v>
      </c>
      <c r="J45" s="330">
        <f>I45-'4061'!I$53</f>
        <v>7995590.4300000006</v>
      </c>
      <c r="K45" s="330">
        <f>'4061'!I$135</f>
        <v>-103912.25</v>
      </c>
      <c r="L45" s="330">
        <f t="shared" si="8"/>
        <v>8265443.830000001</v>
      </c>
      <c r="M45" s="331">
        <f>'4061'!I$145</f>
        <v>692271.49</v>
      </c>
      <c r="N45" s="201"/>
      <c r="O45" s="330">
        <f>'4061'!E$30</f>
        <v>961.82</v>
      </c>
      <c r="Q45" s="331">
        <f t="shared" si="9"/>
        <v>8701.5824998440457</v>
      </c>
      <c r="R45" s="331">
        <f t="shared" si="3"/>
        <v>-108.03710673514794</v>
      </c>
      <c r="S45" s="331">
        <f t="shared" si="4"/>
        <v>8593.5453931088978</v>
      </c>
      <c r="U45" s="331">
        <f t="shared" si="10"/>
        <v>0</v>
      </c>
      <c r="V45" s="331">
        <f t="shared" si="5"/>
        <v>0</v>
      </c>
      <c r="W45" s="331">
        <f t="shared" si="6"/>
        <v>8593.5453931088978</v>
      </c>
    </row>
    <row r="46" spans="1:23" x14ac:dyDescent="0.2">
      <c r="A46" s="191">
        <v>41</v>
      </c>
      <c r="B46" s="263">
        <v>4080</v>
      </c>
      <c r="C46" s="265" t="s">
        <v>237</v>
      </c>
      <c r="D46" s="379">
        <f>'4080'!G$135</f>
        <v>0</v>
      </c>
      <c r="E46" s="379" t="str">
        <f>'4080'!H$133</f>
        <v/>
      </c>
      <c r="F46" s="329">
        <f t="shared" si="7"/>
        <v>4.7439695263906116E-2</v>
      </c>
      <c r="G46" s="399">
        <f t="shared" si="2"/>
        <v>4.9999997754146638E-2</v>
      </c>
      <c r="H46" s="322"/>
      <c r="I46" s="330">
        <f>'4080'!I$128</f>
        <v>2111831.2299999995</v>
      </c>
      <c r="J46" s="330">
        <f>I46-'4080'!I$53</f>
        <v>2003692.6899999995</v>
      </c>
      <c r="K46" s="330">
        <f>'4080'!I$135</f>
        <v>-100184.63</v>
      </c>
      <c r="L46" s="330">
        <f t="shared" si="8"/>
        <v>2011646.5999999996</v>
      </c>
      <c r="M46" s="331">
        <f>'4080'!I$145</f>
        <v>150128.91</v>
      </c>
      <c r="N46" s="201"/>
      <c r="O46" s="330">
        <f>'4080'!E$30</f>
        <v>244.76</v>
      </c>
      <c r="Q46" s="331">
        <f t="shared" si="9"/>
        <v>8628.1713923843745</v>
      </c>
      <c r="R46" s="331">
        <f t="shared" si="3"/>
        <v>-409.31782153946727</v>
      </c>
      <c r="S46" s="331">
        <f t="shared" si="4"/>
        <v>8218.853570844909</v>
      </c>
      <c r="U46" s="331">
        <f t="shared" si="10"/>
        <v>0</v>
      </c>
      <c r="V46" s="331">
        <f t="shared" si="5"/>
        <v>0</v>
      </c>
      <c r="W46" s="331">
        <f t="shared" si="6"/>
        <v>8218.853570844909</v>
      </c>
    </row>
    <row r="47" spans="1:23" x14ac:dyDescent="0.2">
      <c r="A47" s="191">
        <v>42</v>
      </c>
      <c r="B47" s="263">
        <v>4081</v>
      </c>
      <c r="C47" s="265" t="s">
        <v>234</v>
      </c>
      <c r="D47" s="379">
        <f>'4081'!G$135</f>
        <v>0</v>
      </c>
      <c r="E47" s="379" t="str">
        <f>'4081'!H$133</f>
        <v/>
      </c>
      <c r="F47" s="329">
        <f t="shared" si="7"/>
        <v>4.783468064623262E-2</v>
      </c>
      <c r="G47" s="399">
        <f t="shared" si="2"/>
        <v>5.0000001488030028E-2</v>
      </c>
      <c r="H47" s="322"/>
      <c r="I47" s="330">
        <f>'4081'!I$128</f>
        <v>1053675.06</v>
      </c>
      <c r="J47" s="330">
        <f>I47-'4081'!I$53</f>
        <v>1008044.17</v>
      </c>
      <c r="K47" s="330">
        <f>'4081'!I$135</f>
        <v>-50402.21</v>
      </c>
      <c r="L47" s="330">
        <f t="shared" si="8"/>
        <v>1003272.8500000001</v>
      </c>
      <c r="M47" s="331">
        <f>'4081'!I$145</f>
        <v>85463.93</v>
      </c>
      <c r="N47" s="201"/>
      <c r="O47" s="330">
        <f>'4081'!E$30</f>
        <v>128.28</v>
      </c>
      <c r="Q47" s="331">
        <f t="shared" si="9"/>
        <v>8213.8685687558464</v>
      </c>
      <c r="R47" s="331">
        <f t="shared" si="3"/>
        <v>-392.90777985656376</v>
      </c>
      <c r="S47" s="331">
        <f t="shared" si="4"/>
        <v>7820.9607888992832</v>
      </c>
      <c r="U47" s="331">
        <f t="shared" si="10"/>
        <v>0</v>
      </c>
      <c r="V47" s="331">
        <f t="shared" si="5"/>
        <v>0</v>
      </c>
      <c r="W47" s="331">
        <f t="shared" si="6"/>
        <v>7820.9607888992832</v>
      </c>
    </row>
    <row r="48" spans="1:23" x14ac:dyDescent="0.2">
      <c r="A48" s="191">
        <v>43</v>
      </c>
      <c r="B48" s="263">
        <v>4090</v>
      </c>
      <c r="C48" s="265" t="s">
        <v>297</v>
      </c>
      <c r="D48" s="379">
        <f>'4090'!G$135</f>
        <v>0</v>
      </c>
      <c r="E48" s="379" t="str">
        <f>'4090'!H$133</f>
        <v/>
      </c>
      <c r="F48" s="329">
        <f t="shared" si="7"/>
        <v>4.2462261313108603E-2</v>
      </c>
      <c r="G48" s="399">
        <f t="shared" si="2"/>
        <v>4.4960796184329195E-2</v>
      </c>
      <c r="H48" s="322"/>
      <c r="I48" s="330">
        <f>'4090'!I$128</f>
        <v>2294800.2999999998</v>
      </c>
      <c r="J48" s="330">
        <f>I48-'4090'!I$53</f>
        <v>2167275.0099999998</v>
      </c>
      <c r="K48" s="330">
        <f>'4090'!I$135</f>
        <v>-97442.41</v>
      </c>
      <c r="L48" s="330">
        <f t="shared" si="8"/>
        <v>2197357.8899999997</v>
      </c>
      <c r="M48" s="331">
        <f>'4090'!I$145</f>
        <v>153089.95000000001</v>
      </c>
      <c r="N48" s="201"/>
      <c r="O48" s="330">
        <f>'4090'!E$30</f>
        <v>278.02000000000004</v>
      </c>
      <c r="Q48" s="331">
        <f t="shared" si="9"/>
        <v>8254.0835191712813</v>
      </c>
      <c r="R48" s="331">
        <f t="shared" si="3"/>
        <v>-350.48705129127399</v>
      </c>
      <c r="S48" s="331">
        <f t="shared" si="4"/>
        <v>7903.5964678800065</v>
      </c>
      <c r="U48" s="331">
        <f t="shared" si="10"/>
        <v>0</v>
      </c>
      <c r="V48" s="331">
        <f t="shared" si="5"/>
        <v>0</v>
      </c>
      <c r="W48" s="331">
        <f t="shared" si="6"/>
        <v>7903.5964678800065</v>
      </c>
    </row>
    <row r="49" spans="1:23" x14ac:dyDescent="0.2">
      <c r="A49" s="191">
        <v>44</v>
      </c>
      <c r="B49" s="263">
        <v>4091</v>
      </c>
      <c r="C49" s="265" t="s">
        <v>275</v>
      </c>
      <c r="D49" s="379">
        <f>'4091'!G$135</f>
        <v>0</v>
      </c>
      <c r="E49" s="379" t="str">
        <f>'4091'!H$133</f>
        <v/>
      </c>
      <c r="F49" s="329">
        <f t="shared" si="7"/>
        <v>2.9829311858410184E-2</v>
      </c>
      <c r="G49" s="399">
        <f t="shared" si="2"/>
        <v>3.1333032335948564E-2</v>
      </c>
      <c r="H49" s="322"/>
      <c r="I49" s="330">
        <f>'4091'!I$128</f>
        <v>3552350.47</v>
      </c>
      <c r="J49" s="330">
        <f>I49-'4091'!I$53</f>
        <v>3381867.7</v>
      </c>
      <c r="K49" s="330">
        <f>'4091'!I$135</f>
        <v>-105964.17</v>
      </c>
      <c r="L49" s="330">
        <f t="shared" si="8"/>
        <v>3446386.3000000003</v>
      </c>
      <c r="M49" s="331">
        <f>'4091'!I$145</f>
        <v>277730.71999999997</v>
      </c>
      <c r="N49" s="201"/>
      <c r="O49" s="330">
        <f>'4091'!E$30</f>
        <v>398.94</v>
      </c>
      <c r="Q49" s="331">
        <f t="shared" si="9"/>
        <v>8904.4730285255937</v>
      </c>
      <c r="R49" s="331">
        <f t="shared" si="3"/>
        <v>-265.61430290269215</v>
      </c>
      <c r="S49" s="331">
        <f t="shared" si="4"/>
        <v>8638.8587256229021</v>
      </c>
      <c r="U49" s="331">
        <f t="shared" si="10"/>
        <v>0</v>
      </c>
      <c r="V49" s="331">
        <f t="shared" si="5"/>
        <v>0</v>
      </c>
      <c r="W49" s="331">
        <f t="shared" si="6"/>
        <v>8638.8587256229021</v>
      </c>
    </row>
    <row r="50" spans="1:23" x14ac:dyDescent="0.2">
      <c r="A50" s="191">
        <v>45</v>
      </c>
      <c r="B50" s="263">
        <v>4100</v>
      </c>
      <c r="C50" s="265" t="s">
        <v>298</v>
      </c>
      <c r="D50" s="379">
        <f>'4100'!G$135</f>
        <v>0</v>
      </c>
      <c r="E50" s="379">
        <f>'4100'!H$133</f>
        <v>1</v>
      </c>
      <c r="F50" s="329">
        <f t="shared" si="7"/>
        <v>1.0379549290465721E-2</v>
      </c>
      <c r="G50" s="399">
        <f t="shared" si="2"/>
        <v>1.0879562004625504E-2</v>
      </c>
      <c r="H50" s="322"/>
      <c r="I50" s="330">
        <f>'4100'!I$128</f>
        <v>3376189.95</v>
      </c>
      <c r="J50" s="330">
        <f>I50-'4100'!I$53</f>
        <v>3221023.97</v>
      </c>
      <c r="K50" s="330">
        <f>'4100'!I$135</f>
        <v>-35043.33</v>
      </c>
      <c r="L50" s="330">
        <f t="shared" si="8"/>
        <v>3341146.62</v>
      </c>
      <c r="M50" s="331">
        <f>'4100'!I$145</f>
        <v>285464.21000000002</v>
      </c>
      <c r="N50" s="201"/>
      <c r="O50" s="330">
        <f>'4100'!E$30</f>
        <v>92</v>
      </c>
      <c r="Q50" s="331">
        <f t="shared" si="9"/>
        <v>36697.716847826086</v>
      </c>
      <c r="R50" s="331">
        <f t="shared" si="3"/>
        <v>-380.90576086956526</v>
      </c>
      <c r="S50" s="331">
        <f t="shared" si="4"/>
        <v>36316.811086956521</v>
      </c>
      <c r="U50" s="331">
        <f t="shared" si="10"/>
        <v>0</v>
      </c>
      <c r="V50" s="331">
        <f t="shared" si="5"/>
        <v>36316.81</v>
      </c>
      <c r="W50" s="331">
        <f t="shared" si="6"/>
        <v>0</v>
      </c>
    </row>
    <row r="51" spans="1:23" x14ac:dyDescent="0.2">
      <c r="A51" s="191">
        <v>46</v>
      </c>
      <c r="B51" s="263">
        <v>4102</v>
      </c>
      <c r="C51" s="265" t="s">
        <v>299</v>
      </c>
      <c r="D51" s="379">
        <f>'4102'!G$135</f>
        <v>0</v>
      </c>
      <c r="E51" s="379" t="str">
        <f>'4102'!H$133</f>
        <v/>
      </c>
      <c r="F51" s="329" t="e">
        <f t="shared" si="7"/>
        <v>#DIV/0!</v>
      </c>
      <c r="G51" s="399" t="e">
        <f t="shared" si="2"/>
        <v>#DIV/0!</v>
      </c>
      <c r="H51" s="322"/>
      <c r="I51" s="330">
        <f>'4102'!I$128</f>
        <v>0</v>
      </c>
      <c r="J51" s="330"/>
      <c r="K51" s="330">
        <f>'4102'!I$135</f>
        <v>0</v>
      </c>
      <c r="L51" s="330">
        <v>0</v>
      </c>
      <c r="M51" s="331">
        <f>'4102'!I$145</f>
        <v>0</v>
      </c>
      <c r="N51" s="201"/>
      <c r="O51" s="330">
        <f>'4102'!E$30</f>
        <v>0</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1.2202558329566267E-2</v>
      </c>
      <c r="G52" s="399">
        <f t="shared" si="2"/>
        <v>1.2826300599215353E-2</v>
      </c>
      <c r="H52" s="322"/>
      <c r="I52" s="330">
        <f>'4103'!I$128</f>
        <v>8063392.7200000007</v>
      </c>
      <c r="J52" s="330">
        <f>I52-'4103'!I$53</f>
        <v>7671270.3900000006</v>
      </c>
      <c r="K52" s="330">
        <f>'4103'!I$135</f>
        <v>-98394.02</v>
      </c>
      <c r="L52" s="330">
        <f t="shared" si="8"/>
        <v>7964998.7000000011</v>
      </c>
      <c r="M52" s="331">
        <f>'4103'!I$145</f>
        <v>633708.1</v>
      </c>
      <c r="N52" s="201"/>
      <c r="O52" s="330">
        <f>'4103'!E$30</f>
        <v>974.56000000000006</v>
      </c>
      <c r="Q52" s="331">
        <f>IF(O52=0,0,I52/O52)</f>
        <v>8273.8802331308489</v>
      </c>
      <c r="R52" s="331">
        <f>IF(O52=0,0,K52/O52)</f>
        <v>-100.96250615662453</v>
      </c>
      <c r="S52" s="331">
        <f>IF(O52=0,0,L52/O52)</f>
        <v>8172.9177269742249</v>
      </c>
      <c r="U52" s="331">
        <f t="shared" si="10"/>
        <v>0</v>
      </c>
      <c r="V52" s="331">
        <f t="shared" si="5"/>
        <v>0</v>
      </c>
      <c r="W52" s="331">
        <f>IF(AND(U52=0,V52=0),S52,)</f>
        <v>8172.9177269742249</v>
      </c>
    </row>
    <row r="53" spans="1:23" x14ac:dyDescent="0.2">
      <c r="A53" s="191">
        <v>48</v>
      </c>
      <c r="B53" s="263">
        <v>4111</v>
      </c>
      <c r="C53" s="265" t="s">
        <v>342</v>
      </c>
      <c r="D53" s="379">
        <f>'4111'!G$135</f>
        <v>0</v>
      </c>
      <c r="E53" s="379" t="str">
        <f>'4111'!H$133</f>
        <v/>
      </c>
      <c r="F53" s="329">
        <f>IF(I53=0,0,-K53/I53)</f>
        <v>3.8837715853423944E-2</v>
      </c>
      <c r="G53" s="399">
        <f t="shared" si="2"/>
        <v>4.0711307626708902E-2</v>
      </c>
      <c r="H53" s="322"/>
      <c r="I53" s="330">
        <f>'4111'!I$128</f>
        <v>2514707.62</v>
      </c>
      <c r="J53" s="330">
        <f>I53-'4111'!I$53</f>
        <v>2398977.23</v>
      </c>
      <c r="K53" s="330">
        <f>'4111'!I$135</f>
        <v>-97665.5</v>
      </c>
      <c r="L53" s="330">
        <f t="shared" si="8"/>
        <v>2417042.12</v>
      </c>
      <c r="M53" s="331">
        <f>'4111'!I$145</f>
        <v>200498.24</v>
      </c>
      <c r="N53" s="201"/>
      <c r="O53" s="330">
        <f>'4111'!E$30</f>
        <v>307.03999999999996</v>
      </c>
      <c r="Q53" s="331">
        <f>IF(O53=0,0,I53/O53)</f>
        <v>8190.1629103699861</v>
      </c>
      <c r="R53" s="331">
        <f>IF(O53=0,0,K53/O53)</f>
        <v>-318.0872199062012</v>
      </c>
      <c r="S53" s="331">
        <f>IF(O53=0,0,L53/O53)</f>
        <v>7872.0756904637847</v>
      </c>
      <c r="U53" s="331">
        <f t="shared" si="10"/>
        <v>0</v>
      </c>
      <c r="V53" s="331">
        <f t="shared" si="5"/>
        <v>0</v>
      </c>
      <c r="W53" s="331">
        <f>IF(AND(U53=0,V53=0),S53,)</f>
        <v>7872.0756904637847</v>
      </c>
    </row>
    <row r="54" spans="1:23" x14ac:dyDescent="0.2">
      <c r="A54" s="191">
        <v>49</v>
      </c>
      <c r="B54" s="263">
        <v>4131</v>
      </c>
      <c r="C54" s="265" t="s">
        <v>374</v>
      </c>
      <c r="D54" s="379">
        <f>'4103'!G$135</f>
        <v>0</v>
      </c>
      <c r="E54" s="379" t="str">
        <f>'4103'!H$133</f>
        <v/>
      </c>
      <c r="F54" s="329">
        <f>IF(I54=0,0,-K54/I54)</f>
        <v>4.8476193880910796E-2</v>
      </c>
      <c r="G54" s="399">
        <f t="shared" si="2"/>
        <v>4.9999995096633595E-2</v>
      </c>
      <c r="H54" s="322"/>
      <c r="I54" s="330">
        <f>'4131'!I$128</f>
        <v>841408.87999999989</v>
      </c>
      <c r="J54" s="330">
        <f>I54-'4131'!I$53</f>
        <v>815766.07999999984</v>
      </c>
      <c r="K54" s="330">
        <f>'4131'!I$135</f>
        <v>-40788.300000000003</v>
      </c>
      <c r="L54" s="330">
        <f>I54+K54</f>
        <v>800620.57999999984</v>
      </c>
      <c r="M54" s="331">
        <f>'4131'!I$145</f>
        <v>82625.429999999993</v>
      </c>
      <c r="N54" s="201"/>
      <c r="O54" s="330">
        <f>'4131'!E$30</f>
        <v>103.02</v>
      </c>
      <c r="Q54" s="331">
        <f>IF(O54=0,0,I54/O54)</f>
        <v>8167.4323432343226</v>
      </c>
      <c r="R54" s="331">
        <f>IF(O54=0,0,K54/O54)</f>
        <v>-395.92603377984864</v>
      </c>
      <c r="S54" s="331">
        <f>IF(O54=0,0,L54/O54)</f>
        <v>7771.5063094544739</v>
      </c>
      <c r="U54" s="331">
        <f t="shared" si="10"/>
        <v>0</v>
      </c>
      <c r="V54" s="331">
        <f t="shared" si="5"/>
        <v>0</v>
      </c>
      <c r="W54" s="331">
        <f>IF(AND(U54=0,V54=0),S54,)</f>
        <v>7771.5063094544739</v>
      </c>
    </row>
    <row r="55" spans="1:23" x14ac:dyDescent="0.2">
      <c r="A55" s="215"/>
    </row>
    <row r="56" spans="1:23" x14ac:dyDescent="0.2">
      <c r="D56" s="191">
        <f>COUNTIF(D8:D55,"H")</f>
        <v>11</v>
      </c>
      <c r="E56" s="381">
        <f>SUM(E8:E55)</f>
        <v>9</v>
      </c>
      <c r="F56" s="322">
        <f>-K56/I56</f>
        <v>1.581268457961538E-2</v>
      </c>
      <c r="G56" s="322">
        <f t="shared" si="2"/>
        <v>1.6556051431382859E-2</v>
      </c>
      <c r="I56" s="201">
        <f>SUM(I6:I55)</f>
        <v>208166648.95999998</v>
      </c>
      <c r="J56" s="201">
        <f>SUM(J6:J55)</f>
        <v>198819964.62999994</v>
      </c>
      <c r="K56" s="201">
        <f>SUM(K6:K55)</f>
        <v>-3291673.56</v>
      </c>
      <c r="L56" s="201">
        <f>SUM(L6:L55)</f>
        <v>204874975.40000001</v>
      </c>
      <c r="M56" s="201">
        <f>SUM(M6:M55)</f>
        <v>17074911.039999999</v>
      </c>
      <c r="O56" s="201">
        <f>SUM(O6:O55)</f>
        <v>21795.98</v>
      </c>
      <c r="Q56" s="201">
        <f>SUM(Q6:Q55)</f>
        <v>562560.06111409364</v>
      </c>
      <c r="R56" s="238">
        <f>K56/O56</f>
        <v>-151.02204902004866</v>
      </c>
      <c r="S56" s="238">
        <f>L56/O56</f>
        <v>9399.6679846467105</v>
      </c>
      <c r="U56" s="201">
        <f>AVERAGEIF(U8:U53,"&lt;&gt;0")</f>
        <v>8423.7064734313972</v>
      </c>
      <c r="V56" s="201">
        <f>AVERAGEIF(V8:V53,"&lt;&gt;0")</f>
        <v>25915.928749999999</v>
      </c>
      <c r="W56" s="201">
        <f>AVERAGEIF(W8:W53,"&lt;&gt;0")</f>
        <v>8385.9880509768336</v>
      </c>
    </row>
    <row r="57" spans="1:23" x14ac:dyDescent="0.2">
      <c r="O57" s="201">
        <f>O56-Consolidated!E32</f>
        <v>0</v>
      </c>
    </row>
    <row r="58" spans="1:23" x14ac:dyDescent="0.2">
      <c r="C58" s="188" t="s">
        <v>300</v>
      </c>
      <c r="I58" s="326">
        <f>Consolidated!I126</f>
        <v>208166648.95999998</v>
      </c>
      <c r="J58" s="326">
        <f>Consolidated!I128</f>
        <v>198819964.62999994</v>
      </c>
      <c r="K58" s="326">
        <f>Consolidated!I133</f>
        <v>-3291673.56</v>
      </c>
      <c r="L58" s="326">
        <f>I58+K58</f>
        <v>204874975.39999998</v>
      </c>
      <c r="M58" s="326">
        <f>Consolidated!I143</f>
        <v>17074911.039999999</v>
      </c>
    </row>
    <row r="59" spans="1:23" x14ac:dyDescent="0.2">
      <c r="L59" s="567"/>
    </row>
    <row r="60" spans="1:23" ht="13.5" thickBot="1" x14ac:dyDescent="0.25">
      <c r="C60" s="188" t="s">
        <v>301</v>
      </c>
      <c r="I60" s="327">
        <f>I58-I56</f>
        <v>0</v>
      </c>
      <c r="J60" s="327">
        <f>J58-J56</f>
        <v>0</v>
      </c>
      <c r="K60" s="327">
        <f>K58-K56</f>
        <v>0</v>
      </c>
      <c r="L60" s="327">
        <f>L58-L56</f>
        <v>0</v>
      </c>
      <c r="M60" s="327">
        <f>M58-M56</f>
        <v>0</v>
      </c>
    </row>
    <row r="61" spans="1:23" ht="13.5" thickTop="1" x14ac:dyDescent="0.2">
      <c r="L61" s="238">
        <v>66663.929999999993</v>
      </c>
      <c r="M61" s="188" t="s">
        <v>552</v>
      </c>
    </row>
    <row r="62" spans="1:23" x14ac:dyDescent="0.2">
      <c r="L62" s="201"/>
    </row>
    <row r="63" spans="1:23" x14ac:dyDescent="0.2">
      <c r="L63" s="684">
        <f>L61+L58</f>
        <v>204941639.32999998</v>
      </c>
      <c r="M63" s="188" t="s">
        <v>553</v>
      </c>
    </row>
  </sheetData>
  <mergeCells count="3">
    <mergeCell ref="I4:L4"/>
    <mergeCell ref="Q4:S4"/>
    <mergeCell ref="U4:W4"/>
  </mergeCells>
  <conditionalFormatting sqref="F8:G39 I8:M39 Q8:S39 U8:W39 B8:E50 O8:O39">
    <cfRule type="expression" dxfId="52" priority="39" stopIfTrue="1">
      <formula>MOD(ROW(),2)=0</formula>
    </cfRule>
  </conditionalFormatting>
  <conditionalFormatting sqref="F42:G50 I42:M50">
    <cfRule type="expression" dxfId="51" priority="48" stopIfTrue="1">
      <formula>MOD(ROW(),2)=0</formula>
    </cfRule>
  </conditionalFormatting>
  <conditionalFormatting sqref="O42:O50 Q42:S50 U42:W50">
    <cfRule type="expression" dxfId="50" priority="40" stopIfTrue="1">
      <formula>MOD(ROW(),2)=0</formula>
    </cfRule>
  </conditionalFormatting>
  <conditionalFormatting sqref="O57">
    <cfRule type="cellIs" dxfId="49" priority="47" stopIfTrue="1" operator="equal">
      <formula>0</formula>
    </cfRule>
  </conditionalFormatting>
  <conditionalFormatting sqref="F40:G41 I40:M41 Q40:S41 U40:W41 O40:O41">
    <cfRule type="expression" dxfId="48" priority="38" stopIfTrue="1">
      <formula>MOD(ROW(),2)=0</formula>
    </cfRule>
  </conditionalFormatting>
  <conditionalFormatting sqref="B52:E52">
    <cfRule type="expression" dxfId="47" priority="35" stopIfTrue="1">
      <formula>MOD(ROW(),2)=0</formula>
    </cfRule>
  </conditionalFormatting>
  <conditionalFormatting sqref="F52:G52 I52:M52">
    <cfRule type="expression" dxfId="46" priority="37" stopIfTrue="1">
      <formula>MOD(ROW(),2)=0</formula>
    </cfRule>
  </conditionalFormatting>
  <conditionalFormatting sqref="O52 Q52:S52 U52:W52">
    <cfRule type="expression" dxfId="45" priority="36" stopIfTrue="1">
      <formula>MOD(ROW(),2)=0</formula>
    </cfRule>
  </conditionalFormatting>
  <conditionalFormatting sqref="B51:E51">
    <cfRule type="expression" dxfId="44" priority="32" stopIfTrue="1">
      <formula>MOD(ROW(),2)=0</formula>
    </cfRule>
  </conditionalFormatting>
  <conditionalFormatting sqref="F51:G51 I51:M51">
    <cfRule type="expression" dxfId="43" priority="34" stopIfTrue="1">
      <formula>MOD(ROW(),2)=0</formula>
    </cfRule>
  </conditionalFormatting>
  <conditionalFormatting sqref="O51 Q51:S51 U51:W51">
    <cfRule type="expression" dxfId="42" priority="33" stopIfTrue="1">
      <formula>MOD(ROW(),2)=0</formula>
    </cfRule>
  </conditionalFormatting>
  <conditionalFormatting sqref="B53:E53">
    <cfRule type="expression" dxfId="41" priority="29" stopIfTrue="1">
      <formula>MOD(ROW(),2)=0</formula>
    </cfRule>
  </conditionalFormatting>
  <conditionalFormatting sqref="F53:G53 I53:M53">
    <cfRule type="expression" dxfId="40" priority="31" stopIfTrue="1">
      <formula>MOD(ROW(),2)=0</formula>
    </cfRule>
  </conditionalFormatting>
  <conditionalFormatting sqref="O53 Q53:S53 U53:W53">
    <cfRule type="expression" dxfId="39" priority="30" stopIfTrue="1">
      <formula>MOD(ROW(),2)=0</formula>
    </cfRule>
  </conditionalFormatting>
  <conditionalFormatting sqref="B54:E54">
    <cfRule type="expression" dxfId="38" priority="26" stopIfTrue="1">
      <formula>MOD(ROW(),2)=0</formula>
    </cfRule>
  </conditionalFormatting>
  <conditionalFormatting sqref="F54:G54 I54:M54">
    <cfRule type="expression" dxfId="37" priority="28" stopIfTrue="1">
      <formula>MOD(ROW(),2)=0</formula>
    </cfRule>
  </conditionalFormatting>
  <conditionalFormatting sqref="O54 Q54:S54 U54:W54">
    <cfRule type="expression" dxfId="36" priority="27" stopIfTrue="1">
      <formula>MOD(ROW(),2)=0</formula>
    </cfRule>
  </conditionalFormatting>
  <conditionalFormatting sqref="B7">
    <cfRule type="expression" dxfId="35" priority="25" stopIfTrue="1">
      <formula>MOD(ROW(),2)=0</formula>
    </cfRule>
  </conditionalFormatting>
  <conditionalFormatting sqref="B6:C6 O6 E6">
    <cfRule type="expression" dxfId="34" priority="24" stopIfTrue="1">
      <formula>MOD(ROW(),2)=0</formula>
    </cfRule>
  </conditionalFormatting>
  <conditionalFormatting sqref="D6:D7">
    <cfRule type="expression" dxfId="33" priority="23" stopIfTrue="1">
      <formula>MOD(ROW(),2)=0</formula>
    </cfRule>
  </conditionalFormatting>
  <conditionalFormatting sqref="I7">
    <cfRule type="expression" dxfId="32" priority="22" stopIfTrue="1">
      <formula>MOD(ROW(),2)=0</formula>
    </cfRule>
  </conditionalFormatting>
  <conditionalFormatting sqref="I6">
    <cfRule type="expression" dxfId="31" priority="21" stopIfTrue="1">
      <formula>MOD(ROW(),2)=0</formula>
    </cfRule>
  </conditionalFormatting>
  <conditionalFormatting sqref="J6">
    <cfRule type="expression" dxfId="30" priority="20" stopIfTrue="1">
      <formula>MOD(ROW(),2)=0</formula>
    </cfRule>
  </conditionalFormatting>
  <conditionalFormatting sqref="J7">
    <cfRule type="expression" dxfId="29" priority="19" stopIfTrue="1">
      <formula>MOD(ROW(),2)=0</formula>
    </cfRule>
  </conditionalFormatting>
  <conditionalFormatting sqref="K6">
    <cfRule type="expression" dxfId="28" priority="18" stopIfTrue="1">
      <formula>MOD(ROW(),2)=0</formula>
    </cfRule>
  </conditionalFormatting>
  <conditionalFormatting sqref="K7">
    <cfRule type="expression" dxfId="27" priority="17" stopIfTrue="1">
      <formula>MOD(ROW(),2)=0</formula>
    </cfRule>
  </conditionalFormatting>
  <conditionalFormatting sqref="L6">
    <cfRule type="expression" dxfId="26" priority="16" stopIfTrue="1">
      <formula>MOD(ROW(),2)=0</formula>
    </cfRule>
  </conditionalFormatting>
  <conditionalFormatting sqref="L7">
    <cfRule type="expression" dxfId="25" priority="15" stopIfTrue="1">
      <formula>MOD(ROW(),2)=0</formula>
    </cfRule>
  </conditionalFormatting>
  <conditionalFormatting sqref="M6">
    <cfRule type="expression" dxfId="24" priority="14" stopIfTrue="1">
      <formula>MOD(ROW(),2)=0</formula>
    </cfRule>
  </conditionalFormatting>
  <conditionalFormatting sqref="M7">
    <cfRule type="expression" dxfId="23" priority="13" stopIfTrue="1">
      <formula>MOD(ROW(),2)=0</formula>
    </cfRule>
  </conditionalFormatting>
  <conditionalFormatting sqref="Q6">
    <cfRule type="expression" dxfId="22" priority="12" stopIfTrue="1">
      <formula>MOD(ROW(),2)=0</formula>
    </cfRule>
  </conditionalFormatting>
  <conditionalFormatting sqref="Q7">
    <cfRule type="expression" dxfId="21" priority="11" stopIfTrue="1">
      <formula>MOD(ROW(),2)=0</formula>
    </cfRule>
  </conditionalFormatting>
  <conditionalFormatting sqref="F6">
    <cfRule type="expression" dxfId="20" priority="10" stopIfTrue="1">
      <formula>MOD(ROW(),2)=0</formula>
    </cfRule>
  </conditionalFormatting>
  <conditionalFormatting sqref="F7">
    <cfRule type="expression" dxfId="19" priority="9" stopIfTrue="1">
      <formula>MOD(ROW(),2)=0</formula>
    </cfRule>
  </conditionalFormatting>
  <conditionalFormatting sqref="G7">
    <cfRule type="expression" dxfId="18" priority="8" stopIfTrue="1">
      <formula>MOD(ROW(),2)=0</formula>
    </cfRule>
  </conditionalFormatting>
  <conditionalFormatting sqref="G6">
    <cfRule type="expression" dxfId="17" priority="7" stopIfTrue="1">
      <formula>MOD(ROW(),2)=0</formula>
    </cfRule>
  </conditionalFormatting>
  <conditionalFormatting sqref="R6">
    <cfRule type="expression" dxfId="16" priority="6" stopIfTrue="1">
      <formula>MOD(ROW(),2)=0</formula>
    </cfRule>
  </conditionalFormatting>
  <conditionalFormatting sqref="R7">
    <cfRule type="expression" dxfId="15" priority="5" stopIfTrue="1">
      <formula>MOD(ROW(),2)=0</formula>
    </cfRule>
  </conditionalFormatting>
  <conditionalFormatting sqref="S7">
    <cfRule type="expression" dxfId="14" priority="4" stopIfTrue="1">
      <formula>MOD(ROW(),2)=0</formula>
    </cfRule>
  </conditionalFormatting>
  <conditionalFormatting sqref="S6">
    <cfRule type="expression" dxfId="13" priority="3" stopIfTrue="1">
      <formula>MOD(ROW(),2)=0</formula>
    </cfRule>
  </conditionalFormatting>
  <conditionalFormatting sqref="U6:W6">
    <cfRule type="expression" dxfId="12" priority="2" stopIfTrue="1">
      <formula>MOD(ROW(),2)=0</formula>
    </cfRule>
  </conditionalFormatting>
  <conditionalFormatting sqref="U7:W7">
    <cfRule type="expression" dxfId="11" priority="1" stopIfTrue="1">
      <formula>MOD(ROW(),2)=0</formula>
    </cfRule>
  </conditionalFormatting>
  <pageMargins left="0.7" right="0.7" top="0.75" bottom="0.75" header="0.3" footer="0.3"/>
  <pageSetup orientation="portrait" r:id="rId1"/>
  <ignoredErrors>
    <ignoredError sqref="D53:E5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CC"/>
  </sheetPr>
  <dimension ref="A1:V221"/>
  <sheetViews>
    <sheetView topLeftCell="A22" workbookViewId="0">
      <selection activeCell="E16" sqref="E1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111</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26.65</v>
      </c>
      <c r="D19" s="143">
        <v>0</v>
      </c>
      <c r="E19" s="116">
        <f t="shared" si="1"/>
        <v>53.3</v>
      </c>
      <c r="F19" s="788">
        <f>'1461'!F19:G19</f>
        <v>0.97799999999999998</v>
      </c>
      <c r="G19" s="788"/>
      <c r="H19" s="80">
        <f t="shared" si="2"/>
        <v>52.127400000000002</v>
      </c>
      <c r="I19" s="101">
        <f>ROUND(ROUND(ROUND(H19*$C$8,4)*($H$8),2)*(MAX($H$9,1)),2)</f>
        <v>289228.03999999998</v>
      </c>
      <c r="J19" s="65" t="str">
        <f>IF(ROUND(E19,2)=ROUND(SUM(E63:E65),2)," ","CHECK 4-8 LINES BELOW")</f>
        <v xml:space="preserve"> </v>
      </c>
      <c r="N19" s="747" t="s">
        <v>25</v>
      </c>
      <c r="O19" s="747"/>
      <c r="P19" s="789">
        <f t="shared" si="0"/>
        <v>53.3</v>
      </c>
      <c r="Q19" s="789"/>
      <c r="R19" s="793">
        <v>1</v>
      </c>
      <c r="S19" s="793"/>
      <c r="T19" s="95">
        <f t="shared" si="4"/>
        <v>53.3</v>
      </c>
      <c r="U19" s="491">
        <f t="shared" si="5"/>
        <v>295734.2</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10.43</v>
      </c>
      <c r="D22" s="143">
        <v>0</v>
      </c>
      <c r="E22" s="116">
        <f t="shared" si="1"/>
        <v>20.86</v>
      </c>
      <c r="F22" s="788">
        <f>'1461'!F22:G22</f>
        <v>3.6970000000000001</v>
      </c>
      <c r="G22" s="788"/>
      <c r="H22" s="80">
        <f t="shared" si="2"/>
        <v>77.119399999999999</v>
      </c>
      <c r="I22" s="101">
        <f t="shared" si="3"/>
        <v>427895.76</v>
      </c>
      <c r="N22" s="747" t="s">
        <v>81</v>
      </c>
      <c r="O22" s="747"/>
      <c r="P22" s="789">
        <f t="shared" si="0"/>
        <v>20.86</v>
      </c>
      <c r="Q22" s="789"/>
      <c r="R22" s="793">
        <v>1</v>
      </c>
      <c r="S22" s="793"/>
      <c r="T22" s="95">
        <f t="shared" si="4"/>
        <v>20.86</v>
      </c>
      <c r="U22" s="492">
        <f t="shared" si="5"/>
        <v>115741.38</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37.08</v>
      </c>
      <c r="D30" s="94">
        <f>SUM(D14:D29)</f>
        <v>0</v>
      </c>
      <c r="E30" s="94">
        <f>SUM(E14:E29)</f>
        <v>74.16</v>
      </c>
      <c r="F30" s="724"/>
      <c r="G30" s="724"/>
      <c r="H30" s="99">
        <f>SUM(H14:H29)</f>
        <v>129.24680000000001</v>
      </c>
      <c r="I30" s="94">
        <f>SUM(I14:I29)</f>
        <v>717123.8</v>
      </c>
      <c r="N30" s="791" t="s">
        <v>5</v>
      </c>
      <c r="O30" s="791"/>
      <c r="P30" s="792">
        <f>SUM(P14:P29)</f>
        <v>74.16</v>
      </c>
      <c r="Q30" s="792"/>
      <c r="R30" s="781"/>
      <c r="S30" s="781"/>
      <c r="T30" s="100">
        <f>SUM(T14:T29)</f>
        <v>74.16</v>
      </c>
      <c r="U30" s="492">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76" t="s">
        <v>44</v>
      </c>
      <c r="O46" s="776"/>
      <c r="P46" s="776"/>
      <c r="Q46" s="776"/>
      <c r="R46" s="35">
        <f>R44+T30</f>
        <v>74.16</v>
      </c>
      <c r="S46" s="781" t="s">
        <v>42</v>
      </c>
      <c r="T46" s="781"/>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541444.92999999993</v>
      </c>
      <c r="G51" s="109" t="s">
        <v>6</v>
      </c>
      <c r="H51" s="420">
        <v>5.5899999999999998E-2</v>
      </c>
      <c r="I51" s="101">
        <f>ROUND(F51*H51,2)</f>
        <v>30266.77</v>
      </c>
      <c r="N51" s="425"/>
      <c r="O51" s="426" t="s">
        <v>527</v>
      </c>
      <c r="P51" s="28"/>
      <c r="Q51" s="44" t="s">
        <v>417</v>
      </c>
      <c r="R51" s="427">
        <f>U30</f>
        <v>411475.58</v>
      </c>
      <c r="S51" s="428" t="s">
        <v>6</v>
      </c>
      <c r="T51" s="429">
        <v>5.5899999999999998E-2</v>
      </c>
      <c r="U51" s="421">
        <f>ROUND(R51*T51,2)</f>
        <v>23001.48</v>
      </c>
    </row>
    <row r="52" spans="1:22" x14ac:dyDescent="0.25">
      <c r="A52" s="26"/>
      <c r="B52" s="578" t="s">
        <v>532</v>
      </c>
      <c r="C52" s="26"/>
      <c r="D52" s="26"/>
      <c r="E52" s="43" t="s">
        <v>417</v>
      </c>
      <c r="F52" s="419">
        <v>541444.92999999993</v>
      </c>
      <c r="G52" s="109" t="s">
        <v>6</v>
      </c>
      <c r="H52" s="420">
        <v>1.0699999999999999E-2</v>
      </c>
      <c r="I52" s="101">
        <f>ROUND(F52*H52,2)</f>
        <v>5793.46</v>
      </c>
      <c r="N52" s="28"/>
      <c r="O52" s="579" t="s">
        <v>531</v>
      </c>
      <c r="P52" s="28"/>
      <c r="Q52" s="44" t="s">
        <v>417</v>
      </c>
      <c r="R52" s="427">
        <f>U30</f>
        <v>411475.58</v>
      </c>
      <c r="S52" s="428" t="s">
        <v>6</v>
      </c>
      <c r="T52" s="429">
        <v>1.0699999999999999E-2</v>
      </c>
      <c r="U52" s="430">
        <f>ROUND(R52*T52,2)</f>
        <v>4402.79</v>
      </c>
    </row>
    <row r="53" spans="1:22" x14ac:dyDescent="0.25">
      <c r="A53" s="26"/>
      <c r="B53" s="81" t="s">
        <v>418</v>
      </c>
      <c r="C53" s="26"/>
      <c r="D53" s="26"/>
      <c r="E53" s="43"/>
      <c r="F53" s="419"/>
      <c r="G53" s="109"/>
      <c r="H53" s="420"/>
      <c r="I53" s="97">
        <f>SUM(I51:I52)</f>
        <v>36060.230000000003</v>
      </c>
      <c r="N53" s="28"/>
      <c r="O53" s="402" t="s">
        <v>418</v>
      </c>
      <c r="P53" s="28"/>
      <c r="Q53" s="44"/>
      <c r="R53" s="427"/>
      <c r="S53" s="428"/>
      <c r="T53" s="429"/>
      <c r="U53" s="421">
        <f>SUM(U51:U52)</f>
        <v>27404.27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2" si="10">IF(D$72=0,C57*2,C57+D57)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0.78</v>
      </c>
      <c r="D63" s="143">
        <v>0</v>
      </c>
      <c r="E63" s="116">
        <f>IF(D$66=0,C63*2,C63+D63)</f>
        <v>1.56</v>
      </c>
      <c r="F63" s="463" t="s">
        <v>14</v>
      </c>
      <c r="G63" s="462">
        <v>251</v>
      </c>
      <c r="H63" s="476">
        <f>'1461'!H63</f>
        <v>835</v>
      </c>
      <c r="I63" s="101">
        <f t="shared" si="11"/>
        <v>1302.5999999999999</v>
      </c>
      <c r="N63" s="779"/>
      <c r="O63" s="779"/>
      <c r="P63" s="773"/>
      <c r="Q63" s="773"/>
      <c r="R63" s="40" t="s">
        <v>14</v>
      </c>
      <c r="S63" s="468">
        <v>251</v>
      </c>
      <c r="T63" s="479">
        <f t="shared" si="12"/>
        <v>835</v>
      </c>
      <c r="U63" s="493">
        <f t="shared" si="13"/>
        <v>0</v>
      </c>
      <c r="V63" s="443"/>
    </row>
    <row r="64" spans="1:22" x14ac:dyDescent="0.25">
      <c r="A64" s="721"/>
      <c r="B64" s="721"/>
      <c r="C64" s="143">
        <v>0.6</v>
      </c>
      <c r="D64" s="143">
        <v>0</v>
      </c>
      <c r="E64" s="116">
        <f>IF(D$66=0,C64*2,C64+D64)</f>
        <v>1.2</v>
      </c>
      <c r="F64" s="463" t="s">
        <v>14</v>
      </c>
      <c r="G64" s="462">
        <v>252</v>
      </c>
      <c r="H64" s="476">
        <f>'1461'!H64</f>
        <v>3168</v>
      </c>
      <c r="I64" s="101">
        <f t="shared" si="11"/>
        <v>3801.6</v>
      </c>
      <c r="N64" s="779"/>
      <c r="O64" s="779"/>
      <c r="P64" s="773"/>
      <c r="Q64" s="773"/>
      <c r="R64" s="40" t="s">
        <v>14</v>
      </c>
      <c r="S64" s="468">
        <v>252</v>
      </c>
      <c r="T64" s="479">
        <f t="shared" si="12"/>
        <v>3168</v>
      </c>
      <c r="U64" s="493">
        <f t="shared" si="13"/>
        <v>0</v>
      </c>
      <c r="V64" s="443"/>
    </row>
    <row r="65" spans="1:22" ht="16.5" thickBot="1" x14ac:dyDescent="0.3">
      <c r="A65" s="721"/>
      <c r="B65" s="721"/>
      <c r="C65" s="143">
        <v>25.27</v>
      </c>
      <c r="D65" s="143">
        <v>0</v>
      </c>
      <c r="E65" s="116">
        <f>IF(D$66=0,C65*2,C65+D65)</f>
        <v>50.54</v>
      </c>
      <c r="F65" s="463" t="s">
        <v>14</v>
      </c>
      <c r="G65" s="462">
        <v>253</v>
      </c>
      <c r="H65" s="476">
        <f>'1461'!H65</f>
        <v>6685</v>
      </c>
      <c r="I65" s="101">
        <f t="shared" si="11"/>
        <v>337859.9</v>
      </c>
      <c r="N65" s="779"/>
      <c r="O65" s="779"/>
      <c r="P65" s="774"/>
      <c r="Q65" s="774"/>
      <c r="R65" s="40" t="s">
        <v>14</v>
      </c>
      <c r="S65" s="468">
        <v>253</v>
      </c>
      <c r="T65" s="479">
        <f t="shared" si="12"/>
        <v>6685</v>
      </c>
      <c r="U65" s="494">
        <f t="shared" si="13"/>
        <v>0</v>
      </c>
      <c r="V65" s="443"/>
    </row>
    <row r="66" spans="1:22" ht="16.5" thickBot="1" x14ac:dyDescent="0.3">
      <c r="A66" s="459"/>
      <c r="C66" s="97">
        <f>SUM(C57:C65)</f>
        <v>26.65</v>
      </c>
      <c r="D66" s="97">
        <f>SUM(D57:D65)</f>
        <v>0</v>
      </c>
      <c r="E66" s="97">
        <f>SUM(E57:E65)</f>
        <v>53.3</v>
      </c>
      <c r="F66" s="708" t="s">
        <v>464</v>
      </c>
      <c r="G66" s="708"/>
      <c r="H66" s="708"/>
      <c r="I66" s="97">
        <f>SUM(I57:I65)</f>
        <v>342964.10000000003</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74.16</v>
      </c>
      <c r="D69" s="718" t="s">
        <v>430</v>
      </c>
      <c r="E69" s="718"/>
      <c r="F69" s="718"/>
      <c r="G69" s="718"/>
      <c r="H69" s="299">
        <f>'1461'!H69</f>
        <v>210228.91</v>
      </c>
      <c r="I69" s="113"/>
      <c r="N69" s="746" t="s">
        <v>423</v>
      </c>
      <c r="O69" s="747"/>
      <c r="P69" s="41">
        <f>P30</f>
        <v>74.16</v>
      </c>
      <c r="Q69" s="771" t="s">
        <v>425</v>
      </c>
      <c r="R69" s="772"/>
      <c r="S69" s="772"/>
      <c r="T69" s="760">
        <f>H69</f>
        <v>210228.91</v>
      </c>
      <c r="U69" s="760"/>
    </row>
    <row r="70" spans="1:22" x14ac:dyDescent="0.25">
      <c r="B70" s="69"/>
      <c r="G70" s="42" t="s">
        <v>12</v>
      </c>
      <c r="H70" s="114">
        <f>ROUND(C69/H69,6)</f>
        <v>3.5300000000000002E-4</v>
      </c>
      <c r="I70" s="115"/>
      <c r="N70" s="747"/>
      <c r="O70" s="747"/>
      <c r="P70" s="747"/>
      <c r="Q70" s="747"/>
      <c r="R70" s="747"/>
      <c r="S70" s="747"/>
      <c r="T70" s="765">
        <f>ROUND(P69/T69,6)</f>
        <v>3.5300000000000002E-4</v>
      </c>
      <c r="U70" s="765"/>
    </row>
    <row r="71" spans="1:22" x14ac:dyDescent="0.25">
      <c r="A71" s="461" t="s">
        <v>467</v>
      </c>
      <c r="N71" s="472" t="s">
        <v>475</v>
      </c>
      <c r="O71" s="51"/>
      <c r="P71" s="51"/>
      <c r="Q71" s="51"/>
      <c r="R71" s="51"/>
      <c r="S71" s="51"/>
      <c r="T71" s="51"/>
      <c r="U71" s="51"/>
    </row>
    <row r="72" spans="1:22" x14ac:dyDescent="0.25">
      <c r="A72" s="704" t="s">
        <v>420</v>
      </c>
      <c r="B72" s="705"/>
      <c r="C72" s="112">
        <f>H30</f>
        <v>129.24680000000001</v>
      </c>
      <c r="D72" s="718" t="s">
        <v>431</v>
      </c>
      <c r="E72" s="718"/>
      <c r="F72" s="718"/>
      <c r="G72" s="718"/>
      <c r="H72" s="300">
        <f>'1461'!H72</f>
        <v>234891.44</v>
      </c>
      <c r="I72" s="116"/>
      <c r="N72" s="746" t="s">
        <v>424</v>
      </c>
      <c r="O72" s="747"/>
      <c r="P72" s="41">
        <f>T30</f>
        <v>74.16</v>
      </c>
      <c r="Q72" s="771" t="s">
        <v>426</v>
      </c>
      <c r="R72" s="772"/>
      <c r="S72" s="772"/>
      <c r="T72" s="760">
        <f>H72</f>
        <v>234891.44</v>
      </c>
      <c r="U72" s="760"/>
    </row>
    <row r="73" spans="1:22" x14ac:dyDescent="0.25">
      <c r="G73" s="42" t="s">
        <v>12</v>
      </c>
      <c r="H73" s="114">
        <f>ROUND(C72/H72,6)</f>
        <v>5.5000000000000003E-4</v>
      </c>
      <c r="I73" s="114"/>
      <c r="N73" s="747"/>
      <c r="O73" s="747"/>
      <c r="P73" s="747"/>
      <c r="Q73" s="747"/>
      <c r="R73" s="747"/>
      <c r="S73" s="747"/>
      <c r="T73" s="765">
        <f>ROUND(P72/T72,6)</f>
        <v>3.1599999999999998E-4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74.16</v>
      </c>
      <c r="D75" s="717" t="s">
        <v>432</v>
      </c>
      <c r="E75" s="717"/>
      <c r="F75" s="717"/>
      <c r="G75" s="717"/>
      <c r="H75" s="299">
        <f>'1461'!H75</f>
        <v>187665.41</v>
      </c>
      <c r="I75" s="113"/>
      <c r="N75" s="746" t="s">
        <v>422</v>
      </c>
      <c r="O75" s="747"/>
      <c r="P75" s="41">
        <f>P30</f>
        <v>74.16</v>
      </c>
      <c r="Q75" s="767" t="s">
        <v>427</v>
      </c>
      <c r="R75" s="768"/>
      <c r="S75" s="768"/>
      <c r="T75" s="760">
        <f>H75</f>
        <v>187665.41</v>
      </c>
      <c r="U75" s="760"/>
    </row>
    <row r="76" spans="1:22" x14ac:dyDescent="0.25">
      <c r="B76" s="69"/>
      <c r="G76" s="42" t="s">
        <v>12</v>
      </c>
      <c r="H76" s="114">
        <f>ROUND(C75/H75,6)</f>
        <v>3.9500000000000001E-4</v>
      </c>
      <c r="I76" s="115"/>
      <c r="N76" s="747"/>
      <c r="O76" s="747"/>
      <c r="P76" s="747"/>
      <c r="Q76" s="747"/>
      <c r="R76" s="747"/>
      <c r="S76" s="747"/>
      <c r="T76" s="765">
        <f>ROUND(P75/T75,6)</f>
        <v>3.9500000000000001E-4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74.16</v>
      </c>
      <c r="D78" s="713" t="s">
        <v>433</v>
      </c>
      <c r="E78" s="713"/>
      <c r="F78" s="713"/>
      <c r="G78" s="713"/>
      <c r="H78" s="299">
        <f>'1461'!H78</f>
        <v>209892.26</v>
      </c>
      <c r="I78" s="113"/>
      <c r="N78" s="746" t="s">
        <v>422</v>
      </c>
      <c r="O78" s="747"/>
      <c r="P78" s="41">
        <f>P30</f>
        <v>74.16</v>
      </c>
      <c r="Q78" s="769" t="s">
        <v>428</v>
      </c>
      <c r="R78" s="770"/>
      <c r="S78" s="770"/>
      <c r="T78" s="760">
        <f>H78</f>
        <v>209892.26</v>
      </c>
      <c r="U78" s="760"/>
    </row>
    <row r="79" spans="1:22" x14ac:dyDescent="0.25">
      <c r="B79" s="69"/>
      <c r="G79" s="42" t="s">
        <v>12</v>
      </c>
      <c r="H79" s="114">
        <f>ROUND(C78/H78,6)</f>
        <v>3.5300000000000002E-4</v>
      </c>
      <c r="I79" s="115"/>
      <c r="N79" s="747"/>
      <c r="O79" s="747"/>
      <c r="P79" s="747"/>
      <c r="Q79" s="747"/>
      <c r="R79" s="747"/>
      <c r="S79" s="747"/>
      <c r="T79" s="765">
        <f>ROUND(P78/T78,6)</f>
        <v>3.5300000000000002E-4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74.16</v>
      </c>
      <c r="D81" s="717" t="s">
        <v>434</v>
      </c>
      <c r="E81" s="717"/>
      <c r="F81" s="717"/>
      <c r="G81" s="717"/>
      <c r="H81" s="299">
        <f>'1461'!H81</f>
        <v>187328.76</v>
      </c>
      <c r="I81" s="113"/>
      <c r="N81" s="746" t="s">
        <v>435</v>
      </c>
      <c r="O81" s="747"/>
      <c r="P81" s="41">
        <f>P30</f>
        <v>74.16</v>
      </c>
      <c r="Q81" s="767" t="s">
        <v>436</v>
      </c>
      <c r="R81" s="768"/>
      <c r="S81" s="768"/>
      <c r="T81" s="760">
        <f>H81</f>
        <v>187328.76</v>
      </c>
      <c r="U81" s="760"/>
    </row>
    <row r="82" spans="1:21" x14ac:dyDescent="0.25">
      <c r="B82" s="69"/>
      <c r="G82" s="42" t="s">
        <v>12</v>
      </c>
      <c r="H82" s="114">
        <f>ROUND(C81/H81,6)</f>
        <v>3.9599999999999998E-4</v>
      </c>
      <c r="I82" s="115"/>
      <c r="N82" s="747"/>
      <c r="O82" s="747"/>
      <c r="P82" s="747"/>
      <c r="Q82" s="747"/>
      <c r="R82" s="747"/>
      <c r="S82" s="747"/>
      <c r="T82" s="765">
        <f>ROUND(P81/T81,6)</f>
        <v>3.9599999999999998E-4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3.5300000000000002E-4</v>
      </c>
      <c r="I85" s="101">
        <f>ROUND(F85*H85,2)</f>
        <v>16295.79</v>
      </c>
      <c r="N85" s="472" t="s">
        <v>471</v>
      </c>
      <c r="O85" s="51"/>
      <c r="P85" s="51"/>
      <c r="Q85" s="44"/>
      <c r="R85" s="438">
        <f>F85</f>
        <v>46163704</v>
      </c>
      <c r="S85" s="38" t="s">
        <v>6</v>
      </c>
      <c r="T85" s="440">
        <f>T79</f>
        <v>3.5300000000000002E-4</v>
      </c>
      <c r="U85" s="492">
        <f>ROUND(R85*T85,2)</f>
        <v>16295.79</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3.5300000000000002E-4</v>
      </c>
      <c r="I88" s="101">
        <f>ROUND(F88*H88,2)</f>
        <v>0</v>
      </c>
      <c r="N88" s="766" t="s">
        <v>99</v>
      </c>
      <c r="O88" s="747"/>
      <c r="P88" s="747"/>
      <c r="Q88" s="44"/>
      <c r="R88" s="438">
        <f>F88</f>
        <v>0</v>
      </c>
      <c r="S88" s="38" t="s">
        <v>6</v>
      </c>
      <c r="T88" s="440">
        <f>T70</f>
        <v>3.5300000000000002E-4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3.9599999999999998E-4</v>
      </c>
      <c r="I90" s="101">
        <f>ROUND(F90*H90,2)</f>
        <v>7540.64</v>
      </c>
      <c r="N90" s="472" t="s">
        <v>472</v>
      </c>
      <c r="O90" s="51"/>
      <c r="P90" s="51"/>
      <c r="Q90" s="44"/>
      <c r="R90" s="438">
        <f>F90</f>
        <v>19042026</v>
      </c>
      <c r="S90" s="38" t="s">
        <v>6</v>
      </c>
      <c r="T90" s="440">
        <f>T82</f>
        <v>3.9599999999999998E-4</v>
      </c>
      <c r="U90" s="492">
        <f>ROUND(R90*T90,2)</f>
        <v>7540.64</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3.9500000000000001E-4</v>
      </c>
      <c r="I92" s="101">
        <f t="shared" ref="I92:I96" si="14">ROUND(F92*H92,2)</f>
        <v>4519.25</v>
      </c>
      <c r="N92" s="472" t="s">
        <v>473</v>
      </c>
      <c r="O92" s="51"/>
      <c r="P92" s="51"/>
      <c r="Q92" s="44"/>
      <c r="R92" s="438">
        <f t="shared" ref="R92:R96" si="15">F92</f>
        <v>11441151</v>
      </c>
      <c r="S92" s="38" t="s">
        <v>6</v>
      </c>
      <c r="T92" s="440">
        <f>T76</f>
        <v>3.9500000000000001E-4</v>
      </c>
      <c r="U92" s="492">
        <f>ROUND(R92*T92,2)</f>
        <v>4519.25</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5.5000000000000003E-4</v>
      </c>
      <c r="I94" s="101">
        <f t="shared" si="14"/>
        <v>140666.25</v>
      </c>
      <c r="N94" s="747" t="s">
        <v>438</v>
      </c>
      <c r="O94" s="747"/>
      <c r="P94" s="747"/>
      <c r="Q94" s="44"/>
      <c r="R94" s="438">
        <f t="shared" si="15"/>
        <v>255756816</v>
      </c>
      <c r="S94" s="38" t="s">
        <v>6</v>
      </c>
      <c r="T94" s="440">
        <f>T73</f>
        <v>3.1599999999999998E-4</v>
      </c>
      <c r="U94" s="492">
        <f>ROUND(R94*T94,2)</f>
        <v>80819.149999999994</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5.5000000000000003E-4</v>
      </c>
      <c r="I96" s="101">
        <f t="shared" si="14"/>
        <v>-872.06</v>
      </c>
      <c r="N96" s="746" t="s">
        <v>439</v>
      </c>
      <c r="O96" s="747"/>
      <c r="P96" s="747"/>
      <c r="Q96" s="44"/>
      <c r="R96" s="438">
        <f t="shared" si="15"/>
        <v>-1585559</v>
      </c>
      <c r="S96" s="38" t="s">
        <v>6</v>
      </c>
      <c r="T96" s="440">
        <f>T73</f>
        <v>3.1599999999999998E-4</v>
      </c>
      <c r="U96" s="492">
        <f>ROUND(R96*T96,2)</f>
        <v>-501.04</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3.5300000000000002E-4</v>
      </c>
      <c r="I98" s="101">
        <f t="shared" ref="I98" si="16">ROUND(F98*H98,2)</f>
        <v>0</v>
      </c>
      <c r="N98" s="551" t="s">
        <v>513</v>
      </c>
      <c r="O98" s="551"/>
      <c r="P98" s="551"/>
      <c r="Q98" s="44"/>
      <c r="R98" s="554">
        <f>F98</f>
        <v>0</v>
      </c>
      <c r="S98" s="552" t="s">
        <v>6</v>
      </c>
      <c r="T98" s="440">
        <f>T70</f>
        <v>3.5300000000000002E-4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117"/>
      <c r="G100" s="37"/>
      <c r="H100" s="441"/>
      <c r="I100" s="101"/>
      <c r="N100" s="402"/>
      <c r="O100" s="45"/>
      <c r="P100" s="45"/>
      <c r="Q100" s="44"/>
      <c r="R100" s="439"/>
      <c r="S100" s="38"/>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129.24680000000001</v>
      </c>
      <c r="D106" s="703"/>
      <c r="E106" s="46">
        <f>H8</f>
        <v>1.0407999999999999</v>
      </c>
      <c r="F106" s="302">
        <f>'1461'!F106</f>
        <v>910.12</v>
      </c>
      <c r="G106" s="39" t="s">
        <v>12</v>
      </c>
      <c r="H106" s="94">
        <f>ROUND(C106*E106*F106,2)</f>
        <v>122429.41</v>
      </c>
      <c r="N106" s="53" t="s">
        <v>14</v>
      </c>
      <c r="O106" s="54">
        <f>T18+T19+T22+T25+T28+T29</f>
        <v>74.16</v>
      </c>
      <c r="P106" s="761">
        <f>T8</f>
        <v>1.0407999999999999</v>
      </c>
      <c r="Q106" s="761"/>
      <c r="R106" s="48">
        <f>F106</f>
        <v>910.12</v>
      </c>
      <c r="S106" s="40" t="s">
        <v>12</v>
      </c>
      <c r="T106" s="498">
        <f>ROUND(O106*P106*R106,2)</f>
        <v>70248.27</v>
      </c>
      <c r="U106" s="51"/>
    </row>
    <row r="107" spans="1:21" ht="16.5" thickBot="1" x14ac:dyDescent="0.3">
      <c r="A107" s="55"/>
      <c r="B107" s="122" t="s">
        <v>102</v>
      </c>
      <c r="C107" s="716">
        <f>SUM(C104:C106)</f>
        <v>129.24680000000001</v>
      </c>
      <c r="D107" s="716"/>
      <c r="E107" s="123"/>
      <c r="F107" s="123"/>
      <c r="G107" s="123"/>
      <c r="H107" s="124" t="s">
        <v>100</v>
      </c>
      <c r="I107" s="101">
        <f>IF(A1=75,0,H106+H105+H104)</f>
        <v>122429.41</v>
      </c>
      <c r="N107" s="56" t="s">
        <v>89</v>
      </c>
      <c r="O107" s="57">
        <f>SUM(O104:O106)</f>
        <v>74.16</v>
      </c>
      <c r="P107" s="756" t="s">
        <v>16</v>
      </c>
      <c r="Q107" s="757"/>
      <c r="R107" s="757"/>
      <c r="S107" s="757"/>
      <c r="T107" s="757"/>
      <c r="U107" s="492">
        <f>IF(N1=75,0,T106+T105+T104)</f>
        <v>70248.27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8"/>
      <c r="D110" s="8"/>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34</v>
      </c>
      <c r="D113" s="143">
        <v>36</v>
      </c>
      <c r="E113" s="116">
        <f>(C113+D113)/2</f>
        <v>35</v>
      </c>
      <c r="F113" s="126" t="s">
        <v>30</v>
      </c>
      <c r="G113" s="303">
        <f>'1461'!G113</f>
        <v>567</v>
      </c>
      <c r="I113" s="101">
        <f>ROUND(G113*E113,2)</f>
        <v>19845</v>
      </c>
      <c r="N113" s="755" t="s">
        <v>52</v>
      </c>
      <c r="O113" s="755"/>
      <c r="P113" s="754">
        <f>IF(H133=1,E113,0)</f>
        <v>35</v>
      </c>
      <c r="Q113" s="754"/>
      <c r="R113" s="754"/>
      <c r="S113" s="83" t="s">
        <v>30</v>
      </c>
      <c r="T113" s="58">
        <f>G113</f>
        <v>567</v>
      </c>
      <c r="U113" s="492">
        <f>ROUND(T113*P113,2)</f>
        <v>19845</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1370512.18</v>
      </c>
      <c r="N128" s="472"/>
      <c r="O128" s="471"/>
      <c r="P128" s="471"/>
      <c r="Q128" s="305"/>
      <c r="R128" s="305"/>
      <c r="S128" s="305"/>
      <c r="T128" s="305"/>
      <c r="U128" s="499">
        <f>SUM(U30,U85,U88,U90,U92,U94,U96,U107,U113,U114,U124,U126)</f>
        <v>610242.64</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1334451.95</v>
      </c>
      <c r="N130" s="747" t="s">
        <v>450</v>
      </c>
      <c r="O130" s="747"/>
      <c r="P130" s="747"/>
      <c r="Q130" s="747"/>
      <c r="R130" s="747"/>
      <c r="S130" s="747"/>
      <c r="T130" s="747"/>
      <c r="U130" s="132">
        <f>U128-U53</f>
        <v>582838.37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582838.37</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582838.37</v>
      </c>
      <c r="I135" s="94">
        <f>ROUND(IF(E30=0,0,IF(E30&gt;250,-(((250/E30)*H135)*IF(G135="H",0.02,0.05)),IF(G135="H",-0.02*H135,-0.05*H135))),2)</f>
        <v>-29141.919999999998</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1341370.26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-481934.3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859435.96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122776.57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390</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391</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392</v>
      </c>
      <c r="B155" s="360"/>
      <c r="C155" s="360"/>
      <c r="D155" s="360"/>
      <c r="E155" s="360"/>
      <c r="F155" s="360"/>
      <c r="G155" s="360"/>
      <c r="H155" s="360"/>
      <c r="I155" s="360"/>
      <c r="N155" s="745"/>
      <c r="O155" s="745"/>
      <c r="P155" s="745"/>
      <c r="Q155" s="745"/>
      <c r="R155" s="745"/>
      <c r="S155" s="745"/>
      <c r="T155" s="745"/>
      <c r="U155" s="745"/>
    </row>
    <row r="156" spans="1:21" s="76" customFormat="1" x14ac:dyDescent="0.2">
      <c r="A156" s="358" t="s">
        <v>393</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394</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395</v>
      </c>
      <c r="B158" s="360"/>
      <c r="C158" s="360"/>
      <c r="D158" s="360"/>
      <c r="E158" s="360"/>
      <c r="F158" s="360"/>
      <c r="G158" s="360"/>
      <c r="H158" s="360"/>
      <c r="I158" s="360"/>
      <c r="N158" s="78"/>
    </row>
    <row r="159" spans="1:21" s="76" customFormat="1" x14ac:dyDescent="0.2">
      <c r="A159" s="358" t="s">
        <v>397</v>
      </c>
      <c r="B159" s="360"/>
      <c r="C159" s="360"/>
      <c r="D159" s="360"/>
      <c r="E159" s="360"/>
      <c r="F159" s="360"/>
      <c r="G159" s="360"/>
      <c r="H159" s="360"/>
      <c r="I159" s="360"/>
      <c r="N159" s="78"/>
    </row>
    <row r="160" spans="1:21" s="76" customFormat="1" x14ac:dyDescent="0.2">
      <c r="A160" s="364" t="s">
        <v>396</v>
      </c>
      <c r="B160" s="360"/>
      <c r="C160" s="360"/>
      <c r="D160" s="360"/>
      <c r="E160" s="360"/>
      <c r="F160" s="360"/>
      <c r="G160" s="360"/>
      <c r="H160" s="360"/>
      <c r="I160" s="360"/>
      <c r="N160" s="78"/>
    </row>
    <row r="161" spans="1:14" s="76" customFormat="1" x14ac:dyDescent="0.2">
      <c r="A161" s="358" t="s">
        <v>398</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401</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403</v>
      </c>
      <c r="B165" s="360"/>
      <c r="C165" s="360"/>
      <c r="D165" s="360"/>
      <c r="E165" s="360"/>
      <c r="F165" s="360"/>
      <c r="G165" s="360"/>
      <c r="H165" s="360"/>
      <c r="I165" s="360"/>
      <c r="N165" s="78"/>
    </row>
    <row r="166" spans="1:14" s="76" customFormat="1" ht="15.75" customHeight="1" x14ac:dyDescent="0.2">
      <c r="A166" s="364" t="s">
        <v>402</v>
      </c>
      <c r="B166" s="360"/>
      <c r="C166" s="360"/>
      <c r="D166" s="360"/>
      <c r="E166" s="360"/>
      <c r="F166" s="360"/>
      <c r="G166" s="360"/>
      <c r="H166" s="360"/>
      <c r="I166" s="360"/>
      <c r="N166" s="78"/>
    </row>
    <row r="167" spans="1:14" s="76" customFormat="1" ht="15.75" customHeight="1" x14ac:dyDescent="0.2">
      <c r="A167" s="358" t="s">
        <v>404</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406</v>
      </c>
      <c r="B169" s="360"/>
      <c r="C169" s="360"/>
      <c r="D169" s="360"/>
      <c r="E169" s="360"/>
      <c r="F169" s="360"/>
      <c r="G169" s="360"/>
      <c r="H169" s="360"/>
      <c r="I169" s="360"/>
      <c r="N169" s="78"/>
    </row>
    <row r="170" spans="1:14" s="76" customFormat="1" ht="15.75" customHeight="1" x14ac:dyDescent="0.2">
      <c r="A170" s="364" t="s">
        <v>405</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407</v>
      </c>
      <c r="B175" s="370"/>
      <c r="C175" s="370"/>
      <c r="D175" s="370"/>
      <c r="E175" s="370"/>
      <c r="F175" s="370"/>
      <c r="G175" s="370"/>
      <c r="H175" s="370"/>
      <c r="I175" s="370"/>
      <c r="J175" s="3"/>
      <c r="K175" s="3"/>
      <c r="L175" s="3"/>
      <c r="M175" s="3"/>
      <c r="N175" s="78"/>
    </row>
    <row r="176" spans="1:14" s="76" customFormat="1" ht="15.75" customHeight="1" x14ac:dyDescent="0.2">
      <c r="A176" s="376" t="s">
        <v>408</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CC"/>
    <pageSetUpPr fitToPage="1"/>
  </sheetPr>
  <dimension ref="A1:V221"/>
  <sheetViews>
    <sheetView topLeftCell="A28" workbookViewId="0">
      <selection activeCell="C21" sqref="C2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548</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IF(D$30=0,C15*2,C15+D15)</f>
        <v>0</v>
      </c>
      <c r="F15" s="788">
        <f>'1461'!F15:G15</f>
        <v>1.1180000000000001</v>
      </c>
      <c r="G15" s="788"/>
      <c r="H15" s="80">
        <f t="shared" ref="H15:H29" si="1">ROUND(E15*F15,4)</f>
        <v>0</v>
      </c>
      <c r="I15" s="101">
        <f t="shared" ref="I15:I29" si="2">ROUND(ROUND(ROUND(H15*$C$8,4)*($H$8),2)*(MAX($H$9,1)),2)</f>
        <v>0</v>
      </c>
      <c r="J15" s="65" t="str">
        <f>IF(ROUND(E15,2)=ROUND(SUM(E57:E59),2)," ","CHECK PK-3 LINES BELOW")</f>
        <v xml:space="preserve"> </v>
      </c>
      <c r="N15" s="747" t="s">
        <v>21</v>
      </c>
      <c r="O15" s="747"/>
      <c r="P15" s="789">
        <f t="shared" si="0"/>
        <v>0</v>
      </c>
      <c r="Q15" s="789"/>
      <c r="R15" s="793">
        <v>1</v>
      </c>
      <c r="S15" s="793"/>
      <c r="T15" s="95">
        <f t="shared" ref="T15:T29" si="3">ROUND(P15*R15,4)</f>
        <v>0</v>
      </c>
      <c r="U15" s="492">
        <f t="shared" ref="U15:U29" si="4">ROUND(ROUND(ROUND(T15*$C$8,4)*($H$8),2)*(MAX($H$9,1)),2)</f>
        <v>0</v>
      </c>
    </row>
    <row r="16" spans="1:21" x14ac:dyDescent="0.25">
      <c r="A16" s="705" t="s">
        <v>22</v>
      </c>
      <c r="B16" s="705"/>
      <c r="C16" s="143">
        <v>0</v>
      </c>
      <c r="D16" s="143">
        <v>0</v>
      </c>
      <c r="E16" s="116">
        <f t="shared" ref="E16:E29" si="5">IF(D$30=0,C16*2,C16+D16)</f>
        <v>0</v>
      </c>
      <c r="F16" s="788">
        <f>'1461'!F16:G16</f>
        <v>1</v>
      </c>
      <c r="G16" s="788"/>
      <c r="H16" s="80">
        <f t="shared" si="1"/>
        <v>0</v>
      </c>
      <c r="I16" s="101">
        <f t="shared" si="2"/>
        <v>0</v>
      </c>
      <c r="N16" s="747" t="s">
        <v>22</v>
      </c>
      <c r="O16" s="747"/>
      <c r="P16" s="789">
        <f t="shared" si="0"/>
        <v>0</v>
      </c>
      <c r="Q16" s="789"/>
      <c r="R16" s="793">
        <v>1</v>
      </c>
      <c r="S16" s="793"/>
      <c r="T16" s="95">
        <f t="shared" si="3"/>
        <v>0</v>
      </c>
      <c r="U16" s="492">
        <f t="shared" si="4"/>
        <v>0</v>
      </c>
    </row>
    <row r="17" spans="1:21" x14ac:dyDescent="0.25">
      <c r="A17" s="705" t="s">
        <v>23</v>
      </c>
      <c r="B17" s="705"/>
      <c r="C17" s="143">
        <v>0</v>
      </c>
      <c r="D17" s="143">
        <v>0</v>
      </c>
      <c r="E17" s="116">
        <f t="shared" si="5"/>
        <v>0</v>
      </c>
      <c r="F17" s="788">
        <f>'1461'!F17:G17</f>
        <v>1</v>
      </c>
      <c r="G17" s="788"/>
      <c r="H17" s="80">
        <f t="shared" si="1"/>
        <v>0</v>
      </c>
      <c r="I17" s="101">
        <f t="shared" si="2"/>
        <v>0</v>
      </c>
      <c r="J17" s="65" t="str">
        <f>IF(ROUND(E17,2)=ROUND(SUM(E60:E62),2)," ","CHECK 4-8 LINES BELOW")</f>
        <v xml:space="preserve"> </v>
      </c>
      <c r="N17" s="747" t="s">
        <v>23</v>
      </c>
      <c r="O17" s="747"/>
      <c r="P17" s="789">
        <f t="shared" si="0"/>
        <v>0</v>
      </c>
      <c r="Q17" s="789"/>
      <c r="R17" s="793">
        <v>1</v>
      </c>
      <c r="S17" s="793"/>
      <c r="T17" s="95">
        <f t="shared" si="3"/>
        <v>0</v>
      </c>
      <c r="U17" s="492">
        <f t="shared" si="4"/>
        <v>0</v>
      </c>
    </row>
    <row r="18" spans="1:21" x14ac:dyDescent="0.25">
      <c r="A18" s="705" t="s">
        <v>24</v>
      </c>
      <c r="B18" s="705"/>
      <c r="C18" s="143">
        <v>0</v>
      </c>
      <c r="D18" s="143">
        <v>0</v>
      </c>
      <c r="E18" s="116">
        <f t="shared" si="5"/>
        <v>0</v>
      </c>
      <c r="F18" s="788">
        <f>'1461'!F18:G18</f>
        <v>0.97799999999999998</v>
      </c>
      <c r="G18" s="788"/>
      <c r="H18" s="80">
        <f t="shared" si="1"/>
        <v>0</v>
      </c>
      <c r="I18" s="101">
        <f t="shared" si="2"/>
        <v>0</v>
      </c>
      <c r="N18" s="747" t="s">
        <v>24</v>
      </c>
      <c r="O18" s="747"/>
      <c r="P18" s="789">
        <f t="shared" si="0"/>
        <v>0</v>
      </c>
      <c r="Q18" s="789"/>
      <c r="R18" s="793">
        <v>1</v>
      </c>
      <c r="S18" s="793"/>
      <c r="T18" s="95">
        <f t="shared" si="3"/>
        <v>0</v>
      </c>
      <c r="U18" s="492">
        <f t="shared" si="4"/>
        <v>0</v>
      </c>
    </row>
    <row r="19" spans="1:21" x14ac:dyDescent="0.25">
      <c r="A19" s="705" t="s">
        <v>25</v>
      </c>
      <c r="B19" s="705"/>
      <c r="C19" s="143">
        <v>9.5</v>
      </c>
      <c r="D19" s="143">
        <v>0</v>
      </c>
      <c r="E19" s="116">
        <f t="shared" si="5"/>
        <v>19</v>
      </c>
      <c r="F19" s="788">
        <f>'1461'!F19:G19</f>
        <v>0.97799999999999998</v>
      </c>
      <c r="G19" s="788"/>
      <c r="H19" s="80">
        <f t="shared" si="1"/>
        <v>18.582000000000001</v>
      </c>
      <c r="I19" s="101">
        <f t="shared" si="2"/>
        <v>103101.93</v>
      </c>
      <c r="J19" s="65" t="str">
        <f>IF(ROUND(E19,2)=ROUND(SUM(E63:E65),2)," ","CHECK 4-8 LINES BELOW")</f>
        <v xml:space="preserve"> </v>
      </c>
      <c r="N19" s="747" t="s">
        <v>25</v>
      </c>
      <c r="O19" s="747"/>
      <c r="P19" s="789">
        <f t="shared" si="0"/>
        <v>19</v>
      </c>
      <c r="Q19" s="789"/>
      <c r="R19" s="793">
        <v>1</v>
      </c>
      <c r="S19" s="793"/>
      <c r="T19" s="95">
        <f t="shared" si="3"/>
        <v>19</v>
      </c>
      <c r="U19" s="491">
        <f t="shared" si="4"/>
        <v>105421.2</v>
      </c>
    </row>
    <row r="20" spans="1:21" x14ac:dyDescent="0.25">
      <c r="A20" s="705" t="s">
        <v>79</v>
      </c>
      <c r="B20" s="705"/>
      <c r="C20" s="143">
        <v>0.5</v>
      </c>
      <c r="D20" s="143">
        <v>0</v>
      </c>
      <c r="E20" s="116">
        <f t="shared" si="5"/>
        <v>1</v>
      </c>
      <c r="F20" s="788">
        <f>'1461'!F20:G20</f>
        <v>3.6970000000000001</v>
      </c>
      <c r="G20" s="788"/>
      <c r="H20" s="80">
        <f t="shared" si="1"/>
        <v>3.6970000000000001</v>
      </c>
      <c r="I20" s="101">
        <f t="shared" si="2"/>
        <v>20512.75</v>
      </c>
      <c r="N20" s="747" t="s">
        <v>79</v>
      </c>
      <c r="O20" s="747"/>
      <c r="P20" s="789">
        <f t="shared" si="0"/>
        <v>1</v>
      </c>
      <c r="Q20" s="789"/>
      <c r="R20" s="793">
        <v>1</v>
      </c>
      <c r="S20" s="793"/>
      <c r="T20" s="95">
        <f t="shared" si="3"/>
        <v>1</v>
      </c>
      <c r="U20" s="492">
        <f t="shared" si="4"/>
        <v>5548.48</v>
      </c>
    </row>
    <row r="21" spans="1:21" x14ac:dyDescent="0.25">
      <c r="A21" s="705" t="s">
        <v>80</v>
      </c>
      <c r="B21" s="705"/>
      <c r="C21" s="143">
        <v>1</v>
      </c>
      <c r="D21" s="143">
        <v>0</v>
      </c>
      <c r="E21" s="116">
        <f t="shared" si="5"/>
        <v>2</v>
      </c>
      <c r="F21" s="788">
        <f>'1461'!F21:G21</f>
        <v>3.6970000000000001</v>
      </c>
      <c r="G21" s="788"/>
      <c r="H21" s="80">
        <f t="shared" si="1"/>
        <v>7.3940000000000001</v>
      </c>
      <c r="I21" s="101">
        <f t="shared" si="2"/>
        <v>41025.49</v>
      </c>
      <c r="N21" s="747" t="s">
        <v>80</v>
      </c>
      <c r="O21" s="747"/>
      <c r="P21" s="789">
        <f t="shared" si="0"/>
        <v>2</v>
      </c>
      <c r="Q21" s="789"/>
      <c r="R21" s="793">
        <v>1</v>
      </c>
      <c r="S21" s="793"/>
      <c r="T21" s="95">
        <f t="shared" si="3"/>
        <v>2</v>
      </c>
      <c r="U21" s="492">
        <f t="shared" si="4"/>
        <v>11096.97</v>
      </c>
    </row>
    <row r="22" spans="1:21" x14ac:dyDescent="0.25">
      <c r="A22" s="705" t="s">
        <v>81</v>
      </c>
      <c r="B22" s="705"/>
      <c r="C22" s="143">
        <v>1</v>
      </c>
      <c r="D22" s="143">
        <v>0</v>
      </c>
      <c r="E22" s="116">
        <f t="shared" si="5"/>
        <v>2</v>
      </c>
      <c r="F22" s="788">
        <f>'1461'!F22:G22</f>
        <v>3.6970000000000001</v>
      </c>
      <c r="G22" s="788"/>
      <c r="H22" s="80">
        <f t="shared" si="1"/>
        <v>7.3940000000000001</v>
      </c>
      <c r="I22" s="101">
        <f t="shared" si="2"/>
        <v>41025.49</v>
      </c>
      <c r="N22" s="747" t="s">
        <v>81</v>
      </c>
      <c r="O22" s="747"/>
      <c r="P22" s="789">
        <f t="shared" si="0"/>
        <v>2</v>
      </c>
      <c r="Q22" s="789"/>
      <c r="R22" s="793">
        <v>1</v>
      </c>
      <c r="S22" s="793"/>
      <c r="T22" s="95">
        <f t="shared" si="3"/>
        <v>2</v>
      </c>
      <c r="U22" s="492">
        <f t="shared" si="4"/>
        <v>11096.97</v>
      </c>
    </row>
    <row r="23" spans="1:21" x14ac:dyDescent="0.25">
      <c r="A23" s="705" t="s">
        <v>82</v>
      </c>
      <c r="B23" s="705"/>
      <c r="C23" s="143">
        <v>4</v>
      </c>
      <c r="D23" s="143">
        <v>0</v>
      </c>
      <c r="E23" s="116">
        <f t="shared" si="5"/>
        <v>8</v>
      </c>
      <c r="F23" s="788">
        <f>'1461'!F23:G23</f>
        <v>5.992</v>
      </c>
      <c r="G23" s="788"/>
      <c r="H23" s="80">
        <f t="shared" si="1"/>
        <v>47.936</v>
      </c>
      <c r="I23" s="101">
        <f t="shared" si="2"/>
        <v>265972.13</v>
      </c>
      <c r="N23" s="747" t="s">
        <v>82</v>
      </c>
      <c r="O23" s="747"/>
      <c r="P23" s="789">
        <f t="shared" si="0"/>
        <v>8</v>
      </c>
      <c r="Q23" s="789"/>
      <c r="R23" s="793">
        <v>1</v>
      </c>
      <c r="S23" s="793"/>
      <c r="T23" s="95">
        <f t="shared" si="3"/>
        <v>8</v>
      </c>
      <c r="U23" s="492">
        <f t="shared" si="4"/>
        <v>44387.87</v>
      </c>
    </row>
    <row r="24" spans="1:21" x14ac:dyDescent="0.25">
      <c r="A24" s="705" t="s">
        <v>83</v>
      </c>
      <c r="B24" s="705"/>
      <c r="C24" s="143">
        <v>3.5</v>
      </c>
      <c r="D24" s="143">
        <v>0</v>
      </c>
      <c r="E24" s="116">
        <f t="shared" si="5"/>
        <v>7</v>
      </c>
      <c r="F24" s="788">
        <f>'1461'!F24:G24</f>
        <v>5.992</v>
      </c>
      <c r="G24" s="788"/>
      <c r="H24" s="80">
        <f t="shared" si="1"/>
        <v>41.944000000000003</v>
      </c>
      <c r="I24" s="101">
        <f t="shared" si="2"/>
        <v>232725.61</v>
      </c>
      <c r="N24" s="747" t="s">
        <v>83</v>
      </c>
      <c r="O24" s="747"/>
      <c r="P24" s="789">
        <f t="shared" si="0"/>
        <v>7</v>
      </c>
      <c r="Q24" s="789"/>
      <c r="R24" s="793">
        <v>1</v>
      </c>
      <c r="S24" s="793"/>
      <c r="T24" s="95">
        <f t="shared" si="3"/>
        <v>7</v>
      </c>
      <c r="U24" s="492">
        <f t="shared" si="4"/>
        <v>38839.39</v>
      </c>
    </row>
    <row r="25" spans="1:21" x14ac:dyDescent="0.25">
      <c r="A25" s="705" t="s">
        <v>84</v>
      </c>
      <c r="B25" s="705"/>
      <c r="C25" s="143">
        <v>5</v>
      </c>
      <c r="D25" s="143">
        <v>0</v>
      </c>
      <c r="E25" s="116">
        <f t="shared" si="5"/>
        <v>10</v>
      </c>
      <c r="F25" s="788">
        <f>'1461'!F25:G25</f>
        <v>5.992</v>
      </c>
      <c r="G25" s="788"/>
      <c r="H25" s="80">
        <f t="shared" si="1"/>
        <v>59.92</v>
      </c>
      <c r="I25" s="101">
        <f t="shared" si="2"/>
        <v>332465.15999999997</v>
      </c>
      <c r="N25" s="747" t="s">
        <v>84</v>
      </c>
      <c r="O25" s="747"/>
      <c r="P25" s="789">
        <f t="shared" si="0"/>
        <v>10</v>
      </c>
      <c r="Q25" s="789"/>
      <c r="R25" s="793">
        <v>1</v>
      </c>
      <c r="S25" s="793"/>
      <c r="T25" s="95">
        <f t="shared" si="3"/>
        <v>10</v>
      </c>
      <c r="U25" s="492">
        <f t="shared" si="4"/>
        <v>55484.84</v>
      </c>
    </row>
    <row r="26" spans="1:21" x14ac:dyDescent="0.25">
      <c r="A26" s="705" t="s">
        <v>85</v>
      </c>
      <c r="B26" s="705"/>
      <c r="C26" s="143">
        <v>0</v>
      </c>
      <c r="D26" s="143">
        <v>0</v>
      </c>
      <c r="E26" s="116">
        <f t="shared" si="5"/>
        <v>0</v>
      </c>
      <c r="F26" s="788">
        <f>'1461'!F26:G26</f>
        <v>1.1919999999999999</v>
      </c>
      <c r="G26" s="788"/>
      <c r="H26" s="80">
        <f t="shared" si="1"/>
        <v>0</v>
      </c>
      <c r="I26" s="101">
        <f t="shared" si="2"/>
        <v>0</v>
      </c>
      <c r="N26" s="747" t="s">
        <v>85</v>
      </c>
      <c r="O26" s="747"/>
      <c r="P26" s="789">
        <f t="shared" si="0"/>
        <v>0</v>
      </c>
      <c r="Q26" s="789"/>
      <c r="R26" s="793">
        <v>1</v>
      </c>
      <c r="S26" s="793"/>
      <c r="T26" s="95">
        <f t="shared" si="3"/>
        <v>0</v>
      </c>
      <c r="U26" s="492">
        <f t="shared" si="4"/>
        <v>0</v>
      </c>
    </row>
    <row r="27" spans="1:21" x14ac:dyDescent="0.25">
      <c r="A27" s="705" t="s">
        <v>86</v>
      </c>
      <c r="B27" s="705"/>
      <c r="C27" s="143">
        <v>0</v>
      </c>
      <c r="D27" s="143">
        <v>0</v>
      </c>
      <c r="E27" s="116">
        <f t="shared" si="5"/>
        <v>0</v>
      </c>
      <c r="F27" s="788">
        <f>'1461'!F27:G27</f>
        <v>1.1919999999999999</v>
      </c>
      <c r="G27" s="788"/>
      <c r="H27" s="80">
        <f t="shared" si="1"/>
        <v>0</v>
      </c>
      <c r="I27" s="101">
        <f t="shared" si="2"/>
        <v>0</v>
      </c>
      <c r="N27" s="747" t="s">
        <v>86</v>
      </c>
      <c r="O27" s="747"/>
      <c r="P27" s="789">
        <f t="shared" si="0"/>
        <v>0</v>
      </c>
      <c r="Q27" s="789"/>
      <c r="R27" s="793">
        <v>1</v>
      </c>
      <c r="S27" s="793"/>
      <c r="T27" s="95">
        <f t="shared" si="3"/>
        <v>0</v>
      </c>
      <c r="U27" s="492">
        <f t="shared" si="4"/>
        <v>0</v>
      </c>
    </row>
    <row r="28" spans="1:21" x14ac:dyDescent="0.25">
      <c r="A28" s="705" t="s">
        <v>87</v>
      </c>
      <c r="B28" s="705"/>
      <c r="C28" s="143">
        <v>0</v>
      </c>
      <c r="D28" s="143">
        <v>0</v>
      </c>
      <c r="E28" s="116">
        <f t="shared" si="5"/>
        <v>0</v>
      </c>
      <c r="F28" s="788">
        <f>'1461'!F28:G28</f>
        <v>1.1919999999999999</v>
      </c>
      <c r="G28" s="788"/>
      <c r="H28" s="80">
        <f t="shared" si="1"/>
        <v>0</v>
      </c>
      <c r="I28" s="101">
        <f t="shared" si="2"/>
        <v>0</v>
      </c>
      <c r="N28" s="747" t="s">
        <v>87</v>
      </c>
      <c r="O28" s="747"/>
      <c r="P28" s="789">
        <f t="shared" si="0"/>
        <v>0</v>
      </c>
      <c r="Q28" s="789"/>
      <c r="R28" s="793">
        <v>1</v>
      </c>
      <c r="S28" s="793"/>
      <c r="T28" s="95">
        <f t="shared" si="3"/>
        <v>0</v>
      </c>
      <c r="U28" s="492">
        <f t="shared" si="4"/>
        <v>0</v>
      </c>
    </row>
    <row r="29" spans="1:21" x14ac:dyDescent="0.25">
      <c r="A29" s="705" t="s">
        <v>88</v>
      </c>
      <c r="B29" s="705"/>
      <c r="C29" s="110">
        <v>0</v>
      </c>
      <c r="D29" s="110">
        <v>0</v>
      </c>
      <c r="E29" s="154">
        <f t="shared" si="5"/>
        <v>0</v>
      </c>
      <c r="F29" s="788">
        <f>'1461'!F29:G29</f>
        <v>1.079</v>
      </c>
      <c r="G29" s="788"/>
      <c r="H29" s="93">
        <f t="shared" si="1"/>
        <v>0</v>
      </c>
      <c r="I29" s="94">
        <f t="shared" si="2"/>
        <v>0</v>
      </c>
      <c r="N29" s="748" t="s">
        <v>88</v>
      </c>
      <c r="O29" s="748"/>
      <c r="P29" s="789">
        <f t="shared" si="0"/>
        <v>0</v>
      </c>
      <c r="Q29" s="789"/>
      <c r="R29" s="790">
        <v>1</v>
      </c>
      <c r="S29" s="790"/>
      <c r="T29" s="95">
        <f t="shared" si="3"/>
        <v>0</v>
      </c>
      <c r="U29" s="492">
        <f t="shared" si="4"/>
        <v>0</v>
      </c>
    </row>
    <row r="30" spans="1:21" x14ac:dyDescent="0.25">
      <c r="A30" s="708" t="s">
        <v>5</v>
      </c>
      <c r="B30" s="708"/>
      <c r="C30" s="94">
        <f>SUM(C14:C29)</f>
        <v>24.5</v>
      </c>
      <c r="D30" s="94">
        <f>SUM(D14:D29)</f>
        <v>0</v>
      </c>
      <c r="E30" s="94">
        <f>SUM(E14:E29)</f>
        <v>49</v>
      </c>
      <c r="F30" s="724"/>
      <c r="G30" s="724"/>
      <c r="H30" s="99">
        <f>SUM(H14:H29)</f>
        <v>186.86700000000002</v>
      </c>
      <c r="I30" s="94">
        <f>SUM(I14:I29)</f>
        <v>1036828.5599999998</v>
      </c>
      <c r="N30" s="791" t="s">
        <v>5</v>
      </c>
      <c r="O30" s="791"/>
      <c r="P30" s="792">
        <f>SUM(P14:P29)</f>
        <v>49</v>
      </c>
      <c r="Q30" s="792"/>
      <c r="R30" s="781"/>
      <c r="S30" s="781"/>
      <c r="T30" s="100">
        <f>SUM(T14:T29)</f>
        <v>49</v>
      </c>
      <c r="U30" s="492">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186.86700000000002</v>
      </c>
      <c r="F46" s="34"/>
      <c r="G46" s="106"/>
      <c r="H46" s="107" t="s">
        <v>98</v>
      </c>
      <c r="I46" s="94">
        <f>SUM(I44,I30)</f>
        <v>1036828.5599999998</v>
      </c>
      <c r="N46" s="776" t="s">
        <v>44</v>
      </c>
      <c r="O46" s="776"/>
      <c r="P46" s="776"/>
      <c r="Q46" s="776"/>
      <c r="R46" s="35">
        <f>R44+T30</f>
        <v>49</v>
      </c>
      <c r="S46" s="781" t="s">
        <v>42</v>
      </c>
      <c r="T46" s="781"/>
      <c r="U46" s="108">
        <f>SUM(U44,U30)</f>
        <v>271875.71999999997</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688103.57000000007</v>
      </c>
      <c r="G51" s="109" t="s">
        <v>6</v>
      </c>
      <c r="H51" s="420">
        <v>5.5899999999999998E-2</v>
      </c>
      <c r="I51" s="101">
        <f>ROUND(F51*H51,2)</f>
        <v>38464.99</v>
      </c>
      <c r="N51" s="425"/>
      <c r="O51" s="426" t="s">
        <v>527</v>
      </c>
      <c r="P51" s="28"/>
      <c r="Q51" s="44" t="s">
        <v>417</v>
      </c>
      <c r="R51" s="427">
        <f>U30</f>
        <v>271875.71999999997</v>
      </c>
      <c r="S51" s="428" t="s">
        <v>6</v>
      </c>
      <c r="T51" s="429">
        <v>5.5899999999999998E-2</v>
      </c>
      <c r="U51" s="421">
        <f>ROUND(R51*T51,2)</f>
        <v>15197.85</v>
      </c>
    </row>
    <row r="52" spans="1:22" x14ac:dyDescent="0.25">
      <c r="A52" s="26"/>
      <c r="B52" s="578" t="s">
        <v>532</v>
      </c>
      <c r="C52" s="26"/>
      <c r="D52" s="26"/>
      <c r="E52" s="43" t="s">
        <v>417</v>
      </c>
      <c r="F52" s="419">
        <v>688103.57000000007</v>
      </c>
      <c r="G52" s="109" t="s">
        <v>6</v>
      </c>
      <c r="H52" s="420">
        <v>1.0699999999999999E-2</v>
      </c>
      <c r="I52" s="101">
        <f>ROUND(F52*H52,2)</f>
        <v>7362.71</v>
      </c>
      <c r="N52" s="28"/>
      <c r="O52" s="579" t="s">
        <v>531</v>
      </c>
      <c r="P52" s="28"/>
      <c r="Q52" s="44" t="s">
        <v>417</v>
      </c>
      <c r="R52" s="427">
        <f>U30</f>
        <v>271875.71999999997</v>
      </c>
      <c r="S52" s="428" t="s">
        <v>6</v>
      </c>
      <c r="T52" s="429">
        <v>1.0699999999999999E-2</v>
      </c>
      <c r="U52" s="430">
        <f>ROUND(R52*T52,2)</f>
        <v>2909.07</v>
      </c>
    </row>
    <row r="53" spans="1:22" x14ac:dyDescent="0.25">
      <c r="A53" s="26"/>
      <c r="B53" s="81" t="s">
        <v>418</v>
      </c>
      <c r="C53" s="26"/>
      <c r="D53" s="26"/>
      <c r="E53" s="43"/>
      <c r="F53" s="419"/>
      <c r="G53" s="109"/>
      <c r="H53" s="420"/>
      <c r="I53" s="97">
        <f>SUM(I51:I52)</f>
        <v>45827.7</v>
      </c>
      <c r="N53" s="28"/>
      <c r="O53" s="402" t="s">
        <v>418</v>
      </c>
      <c r="P53" s="28"/>
      <c r="Q53" s="44"/>
      <c r="R53" s="427"/>
      <c r="S53" s="428"/>
      <c r="T53" s="429"/>
      <c r="U53" s="421">
        <f>SUM(U51:U52)</f>
        <v>18106.920000000002</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2" si="10">IF(D$72=0,C57*2,C57+D57)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3.5</v>
      </c>
      <c r="D63" s="143">
        <v>0</v>
      </c>
      <c r="E63" s="116">
        <f>IF(D$66=0,C63*2,C63+D63)</f>
        <v>7</v>
      </c>
      <c r="F63" s="463" t="s">
        <v>14</v>
      </c>
      <c r="G63" s="462">
        <v>251</v>
      </c>
      <c r="H63" s="476">
        <f>'1461'!H63</f>
        <v>835</v>
      </c>
      <c r="I63" s="101">
        <f t="shared" si="11"/>
        <v>5845</v>
      </c>
      <c r="N63" s="779"/>
      <c r="O63" s="779"/>
      <c r="P63" s="773"/>
      <c r="Q63" s="773"/>
      <c r="R63" s="40" t="s">
        <v>14</v>
      </c>
      <c r="S63" s="468">
        <v>251</v>
      </c>
      <c r="T63" s="479">
        <f t="shared" si="12"/>
        <v>835</v>
      </c>
      <c r="U63" s="493">
        <f t="shared" si="13"/>
        <v>0</v>
      </c>
      <c r="V63" s="443"/>
    </row>
    <row r="64" spans="1:22" x14ac:dyDescent="0.25">
      <c r="A64" s="721"/>
      <c r="B64" s="721"/>
      <c r="C64" s="143">
        <v>3</v>
      </c>
      <c r="D64" s="143">
        <v>0</v>
      </c>
      <c r="E64" s="116">
        <f>IF(D$66=0,C64*2,C64+D64)</f>
        <v>6</v>
      </c>
      <c r="F64" s="463" t="s">
        <v>14</v>
      </c>
      <c r="G64" s="462">
        <v>252</v>
      </c>
      <c r="H64" s="476">
        <f>'1461'!H64</f>
        <v>3168</v>
      </c>
      <c r="I64" s="101">
        <f t="shared" si="11"/>
        <v>19008</v>
      </c>
      <c r="N64" s="779"/>
      <c r="O64" s="779"/>
      <c r="P64" s="773"/>
      <c r="Q64" s="773"/>
      <c r="R64" s="40" t="s">
        <v>14</v>
      </c>
      <c r="S64" s="468">
        <v>252</v>
      </c>
      <c r="T64" s="479">
        <f t="shared" si="12"/>
        <v>3168</v>
      </c>
      <c r="U64" s="493">
        <f t="shared" si="13"/>
        <v>0</v>
      </c>
      <c r="V64" s="443"/>
    </row>
    <row r="65" spans="1:22" ht="16.5" thickBot="1" x14ac:dyDescent="0.3">
      <c r="A65" s="721"/>
      <c r="B65" s="721"/>
      <c r="C65" s="143">
        <v>3</v>
      </c>
      <c r="D65" s="143">
        <v>0</v>
      </c>
      <c r="E65" s="116">
        <f>IF(D$66=0,C65*2,C65+D65)</f>
        <v>6</v>
      </c>
      <c r="F65" s="463" t="s">
        <v>14</v>
      </c>
      <c r="G65" s="462">
        <v>253</v>
      </c>
      <c r="H65" s="476">
        <f>'1461'!H65</f>
        <v>6685</v>
      </c>
      <c r="I65" s="101">
        <f t="shared" si="11"/>
        <v>40110</v>
      </c>
      <c r="N65" s="779"/>
      <c r="O65" s="779"/>
      <c r="P65" s="774"/>
      <c r="Q65" s="774"/>
      <c r="R65" s="40" t="s">
        <v>14</v>
      </c>
      <c r="S65" s="468">
        <v>253</v>
      </c>
      <c r="T65" s="479">
        <f t="shared" si="12"/>
        <v>6685</v>
      </c>
      <c r="U65" s="494">
        <f t="shared" si="13"/>
        <v>0</v>
      </c>
      <c r="V65" s="443"/>
    </row>
    <row r="66" spans="1:22" ht="16.5" thickBot="1" x14ac:dyDescent="0.3">
      <c r="A66" s="459"/>
      <c r="C66" s="97">
        <f>SUM(C57:C65)</f>
        <v>9.5</v>
      </c>
      <c r="D66" s="97">
        <f>SUM(D57:D65)</f>
        <v>0</v>
      </c>
      <c r="E66" s="97">
        <f>SUM(E57:E65)</f>
        <v>19</v>
      </c>
      <c r="F66" s="708" t="s">
        <v>464</v>
      </c>
      <c r="G66" s="708"/>
      <c r="H66" s="708"/>
      <c r="I66" s="97">
        <f>SUM(I57:I65)</f>
        <v>64963</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49</v>
      </c>
      <c r="D69" s="718" t="s">
        <v>430</v>
      </c>
      <c r="E69" s="718"/>
      <c r="F69" s="718"/>
      <c r="G69" s="718"/>
      <c r="H69" s="299">
        <f>'1461'!H69</f>
        <v>210228.91</v>
      </c>
      <c r="I69" s="113"/>
      <c r="N69" s="746" t="s">
        <v>423</v>
      </c>
      <c r="O69" s="747"/>
      <c r="P69" s="41">
        <f>P30</f>
        <v>49</v>
      </c>
      <c r="Q69" s="771" t="s">
        <v>425</v>
      </c>
      <c r="R69" s="772"/>
      <c r="S69" s="772"/>
      <c r="T69" s="760">
        <f>H69</f>
        <v>210228.91</v>
      </c>
      <c r="U69" s="760"/>
    </row>
    <row r="70" spans="1:22" x14ac:dyDescent="0.25">
      <c r="B70" s="69"/>
      <c r="G70" s="42" t="s">
        <v>12</v>
      </c>
      <c r="H70" s="114">
        <f>ROUND(C69/H69,6)</f>
        <v>2.33E-4</v>
      </c>
      <c r="I70" s="115"/>
      <c r="N70" s="747"/>
      <c r="O70" s="747"/>
      <c r="P70" s="747"/>
      <c r="Q70" s="747"/>
      <c r="R70" s="747"/>
      <c r="S70" s="747"/>
      <c r="T70" s="765">
        <f>ROUND(P69/T69,6)</f>
        <v>2.33E-4</v>
      </c>
      <c r="U70" s="765"/>
    </row>
    <row r="71" spans="1:22" x14ac:dyDescent="0.25">
      <c r="A71" s="461" t="s">
        <v>467</v>
      </c>
      <c r="N71" s="472" t="s">
        <v>475</v>
      </c>
      <c r="O71" s="51"/>
      <c r="P71" s="51"/>
      <c r="Q71" s="51"/>
      <c r="R71" s="51"/>
      <c r="S71" s="51"/>
      <c r="T71" s="51"/>
      <c r="U71" s="51"/>
    </row>
    <row r="72" spans="1:22" x14ac:dyDescent="0.25">
      <c r="A72" s="704" t="s">
        <v>420</v>
      </c>
      <c r="B72" s="705"/>
      <c r="C72" s="112">
        <f>H30</f>
        <v>186.86700000000002</v>
      </c>
      <c r="D72" s="718" t="s">
        <v>431</v>
      </c>
      <c r="E72" s="718"/>
      <c r="F72" s="718"/>
      <c r="G72" s="718"/>
      <c r="H72" s="300">
        <f>'1461'!H72</f>
        <v>234891.44</v>
      </c>
      <c r="I72" s="116"/>
      <c r="N72" s="746" t="s">
        <v>424</v>
      </c>
      <c r="O72" s="747"/>
      <c r="P72" s="41">
        <f>T30</f>
        <v>49</v>
      </c>
      <c r="Q72" s="771" t="s">
        <v>426</v>
      </c>
      <c r="R72" s="772"/>
      <c r="S72" s="772"/>
      <c r="T72" s="760">
        <f>H72</f>
        <v>234891.44</v>
      </c>
      <c r="U72" s="760"/>
    </row>
    <row r="73" spans="1:22" x14ac:dyDescent="0.25">
      <c r="G73" s="42" t="s">
        <v>12</v>
      </c>
      <c r="H73" s="114">
        <f>ROUND(C72/H72,6)</f>
        <v>7.9600000000000005E-4</v>
      </c>
      <c r="I73" s="114"/>
      <c r="N73" s="747"/>
      <c r="O73" s="747"/>
      <c r="P73" s="747"/>
      <c r="Q73" s="747"/>
      <c r="R73" s="747"/>
      <c r="S73" s="747"/>
      <c r="T73" s="765">
        <f>ROUND(P72/T72,6)</f>
        <v>2.0900000000000001E-4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49</v>
      </c>
      <c r="D75" s="717" t="s">
        <v>432</v>
      </c>
      <c r="E75" s="717"/>
      <c r="F75" s="717"/>
      <c r="G75" s="717"/>
      <c r="H75" s="299">
        <f>'1461'!H75</f>
        <v>187665.41</v>
      </c>
      <c r="I75" s="113"/>
      <c r="N75" s="746" t="s">
        <v>422</v>
      </c>
      <c r="O75" s="747"/>
      <c r="P75" s="41">
        <f>P30</f>
        <v>49</v>
      </c>
      <c r="Q75" s="767" t="s">
        <v>427</v>
      </c>
      <c r="R75" s="768"/>
      <c r="S75" s="768"/>
      <c r="T75" s="760">
        <f>H75</f>
        <v>187665.41</v>
      </c>
      <c r="U75" s="760"/>
    </row>
    <row r="76" spans="1:22" x14ac:dyDescent="0.25">
      <c r="B76" s="69"/>
      <c r="G76" s="42" t="s">
        <v>12</v>
      </c>
      <c r="H76" s="114">
        <f>ROUND(C75/H75,6)</f>
        <v>2.61E-4</v>
      </c>
      <c r="I76" s="115"/>
      <c r="N76" s="747"/>
      <c r="O76" s="747"/>
      <c r="P76" s="747"/>
      <c r="Q76" s="747"/>
      <c r="R76" s="747"/>
      <c r="S76" s="747"/>
      <c r="T76" s="765">
        <f>ROUND(P75/T75,6)</f>
        <v>2.61E-4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49</v>
      </c>
      <c r="D78" s="713" t="s">
        <v>433</v>
      </c>
      <c r="E78" s="713"/>
      <c r="F78" s="713"/>
      <c r="G78" s="713"/>
      <c r="H78" s="299">
        <f>'1461'!H78</f>
        <v>209892.26</v>
      </c>
      <c r="I78" s="113"/>
      <c r="N78" s="746" t="s">
        <v>422</v>
      </c>
      <c r="O78" s="747"/>
      <c r="P78" s="41">
        <f>P30</f>
        <v>49</v>
      </c>
      <c r="Q78" s="769" t="s">
        <v>428</v>
      </c>
      <c r="R78" s="770"/>
      <c r="S78" s="770"/>
      <c r="T78" s="760">
        <f>H78</f>
        <v>209892.26</v>
      </c>
      <c r="U78" s="760"/>
    </row>
    <row r="79" spans="1:22" x14ac:dyDescent="0.25">
      <c r="B79" s="69"/>
      <c r="G79" s="42" t="s">
        <v>12</v>
      </c>
      <c r="H79" s="114">
        <f>ROUND(C78/H78,6)</f>
        <v>2.33E-4</v>
      </c>
      <c r="I79" s="115"/>
      <c r="N79" s="747"/>
      <c r="O79" s="747"/>
      <c r="P79" s="747"/>
      <c r="Q79" s="747"/>
      <c r="R79" s="747"/>
      <c r="S79" s="747"/>
      <c r="T79" s="765">
        <f>ROUND(P78/T78,6)</f>
        <v>2.33E-4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49</v>
      </c>
      <c r="D81" s="717" t="s">
        <v>434</v>
      </c>
      <c r="E81" s="717"/>
      <c r="F81" s="717"/>
      <c r="G81" s="717"/>
      <c r="H81" s="299">
        <f>'1461'!H81</f>
        <v>187328.76</v>
      </c>
      <c r="I81" s="113"/>
      <c r="N81" s="746" t="s">
        <v>435</v>
      </c>
      <c r="O81" s="747"/>
      <c r="P81" s="41">
        <f>P30</f>
        <v>49</v>
      </c>
      <c r="Q81" s="767" t="s">
        <v>436</v>
      </c>
      <c r="R81" s="768"/>
      <c r="S81" s="768"/>
      <c r="T81" s="760">
        <f>H81</f>
        <v>187328.76</v>
      </c>
      <c r="U81" s="760"/>
    </row>
    <row r="82" spans="1:21" x14ac:dyDescent="0.25">
      <c r="B82" s="69"/>
      <c r="G82" s="42" t="s">
        <v>12</v>
      </c>
      <c r="H82" s="114">
        <f>ROUND(C81/H81,6)</f>
        <v>2.6200000000000003E-4</v>
      </c>
      <c r="I82" s="115"/>
      <c r="N82" s="747"/>
      <c r="O82" s="747"/>
      <c r="P82" s="747"/>
      <c r="Q82" s="747"/>
      <c r="R82" s="747"/>
      <c r="S82" s="747"/>
      <c r="T82" s="765">
        <f>ROUND(P81/T81,6)</f>
        <v>2.6200000000000003E-4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2.33E-4</v>
      </c>
      <c r="I85" s="101">
        <f>ROUND(F85*H85,2)</f>
        <v>10756.14</v>
      </c>
      <c r="N85" s="472" t="s">
        <v>471</v>
      </c>
      <c r="O85" s="51"/>
      <c r="P85" s="51"/>
      <c r="Q85" s="44"/>
      <c r="R85" s="438">
        <f>F85</f>
        <v>46163704</v>
      </c>
      <c r="S85" s="38" t="s">
        <v>6</v>
      </c>
      <c r="T85" s="440">
        <f>T79</f>
        <v>2.33E-4</v>
      </c>
      <c r="U85" s="492">
        <f>ROUND(R85*T85,2)</f>
        <v>10756.14</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2.33E-4</v>
      </c>
      <c r="I88" s="101">
        <f>ROUND(F88*H88,2)</f>
        <v>0</v>
      </c>
      <c r="N88" s="766" t="s">
        <v>99</v>
      </c>
      <c r="O88" s="747"/>
      <c r="P88" s="747"/>
      <c r="Q88" s="44"/>
      <c r="R88" s="438">
        <f>F88</f>
        <v>0</v>
      </c>
      <c r="S88" s="38" t="s">
        <v>6</v>
      </c>
      <c r="T88" s="440">
        <f>T70</f>
        <v>2.33E-4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2.6200000000000003E-4</v>
      </c>
      <c r="I90" s="101">
        <f>ROUND(F90*H90,2)</f>
        <v>4989.01</v>
      </c>
      <c r="N90" s="472" t="s">
        <v>472</v>
      </c>
      <c r="O90" s="51"/>
      <c r="P90" s="51"/>
      <c r="Q90" s="44"/>
      <c r="R90" s="438">
        <f>F90</f>
        <v>19042026</v>
      </c>
      <c r="S90" s="38" t="s">
        <v>6</v>
      </c>
      <c r="T90" s="440">
        <f>T82</f>
        <v>2.6200000000000003E-4</v>
      </c>
      <c r="U90" s="492">
        <f>ROUND(R90*T90,2)</f>
        <v>4989.01</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2.61E-4</v>
      </c>
      <c r="I92" s="101">
        <f t="shared" ref="I92:I96" si="14">ROUND(F92*H92,2)</f>
        <v>2986.14</v>
      </c>
      <c r="N92" s="472" t="s">
        <v>473</v>
      </c>
      <c r="O92" s="51"/>
      <c r="P92" s="51"/>
      <c r="Q92" s="44"/>
      <c r="R92" s="438">
        <f t="shared" ref="R92:R96" si="15">F92</f>
        <v>11441151</v>
      </c>
      <c r="S92" s="38" t="s">
        <v>6</v>
      </c>
      <c r="T92" s="440">
        <f>T76</f>
        <v>2.61E-4</v>
      </c>
      <c r="U92" s="492">
        <f>ROUND(R92*T92,2)</f>
        <v>2986.14</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7.9600000000000005E-4</v>
      </c>
      <c r="I94" s="101">
        <f t="shared" si="14"/>
        <v>203582.43</v>
      </c>
      <c r="N94" s="747" t="s">
        <v>438</v>
      </c>
      <c r="O94" s="747"/>
      <c r="P94" s="747"/>
      <c r="Q94" s="44"/>
      <c r="R94" s="438">
        <f t="shared" si="15"/>
        <v>255756816</v>
      </c>
      <c r="S94" s="38" t="s">
        <v>6</v>
      </c>
      <c r="T94" s="440">
        <f>T73</f>
        <v>2.0900000000000001E-4</v>
      </c>
      <c r="U94" s="492">
        <f>ROUND(R94*T94,2)</f>
        <v>53453.17</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7.9600000000000005E-4</v>
      </c>
      <c r="I96" s="101">
        <f t="shared" si="14"/>
        <v>-1262.0999999999999</v>
      </c>
      <c r="N96" s="746" t="s">
        <v>439</v>
      </c>
      <c r="O96" s="747"/>
      <c r="P96" s="747"/>
      <c r="Q96" s="44"/>
      <c r="R96" s="438">
        <f t="shared" si="15"/>
        <v>-1585559</v>
      </c>
      <c r="S96" s="38" t="s">
        <v>6</v>
      </c>
      <c r="T96" s="440">
        <f>T73</f>
        <v>2.0900000000000001E-4</v>
      </c>
      <c r="U96" s="492">
        <f>ROUND(R96*T96,2)</f>
        <v>-331.38</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2.33E-4</v>
      </c>
      <c r="I98" s="101">
        <f t="shared" ref="I98" si="16">ROUND(F98*H98,2)</f>
        <v>0</v>
      </c>
      <c r="N98" s="551" t="s">
        <v>513</v>
      </c>
      <c r="O98" s="551"/>
      <c r="P98" s="551"/>
      <c r="Q98" s="44"/>
      <c r="R98" s="554">
        <f>F98</f>
        <v>0</v>
      </c>
      <c r="S98" s="552" t="s">
        <v>6</v>
      </c>
      <c r="T98" s="440">
        <f>T70</f>
        <v>2.33E-4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51.633000000000003</v>
      </c>
      <c r="D104" s="703"/>
      <c r="E104" s="46">
        <f>H8</f>
        <v>1.0407999999999999</v>
      </c>
      <c r="F104" s="302">
        <f>'1461'!F104</f>
        <v>950.92</v>
      </c>
      <c r="G104" s="39" t="s">
        <v>12</v>
      </c>
      <c r="H104" s="101">
        <f>ROUND(C104*E104*F104,2)</f>
        <v>51102.09</v>
      </c>
      <c r="I104" s="104"/>
      <c r="N104" s="28" t="s">
        <v>17</v>
      </c>
      <c r="O104" s="47">
        <f>T14+T15+T20+T23+T26</f>
        <v>9</v>
      </c>
      <c r="P104" s="761">
        <f>T8</f>
        <v>1.0407999999999999</v>
      </c>
      <c r="Q104" s="761"/>
      <c r="R104" s="48">
        <f>F104</f>
        <v>950.92</v>
      </c>
      <c r="S104" s="40" t="s">
        <v>12</v>
      </c>
      <c r="T104" s="498">
        <f>ROUND(O104*P104*R104,2)</f>
        <v>8907.4599999999991</v>
      </c>
      <c r="U104" s="102"/>
    </row>
    <row r="105" spans="1:21" x14ac:dyDescent="0.25">
      <c r="A105" s="49"/>
      <c r="B105" s="49" t="s">
        <v>104</v>
      </c>
      <c r="C105" s="703">
        <f>H16+H17+H21+H24+H27</f>
        <v>49.338000000000001</v>
      </c>
      <c r="D105" s="703"/>
      <c r="E105" s="46">
        <f>H8</f>
        <v>1.0407999999999999</v>
      </c>
      <c r="F105" s="302">
        <f>'1461'!F105</f>
        <v>907.92</v>
      </c>
      <c r="G105" s="39" t="s">
        <v>12</v>
      </c>
      <c r="H105" s="101">
        <f>ROUND(C105*E105*F105,2)</f>
        <v>46622.59</v>
      </c>
      <c r="N105" s="50" t="s">
        <v>13</v>
      </c>
      <c r="O105" s="47">
        <f>T16+T17+T21+T24+T27</f>
        <v>9</v>
      </c>
      <c r="P105" s="761">
        <f>T8</f>
        <v>1.0407999999999999</v>
      </c>
      <c r="Q105" s="761"/>
      <c r="R105" s="48">
        <f>F105</f>
        <v>907.92</v>
      </c>
      <c r="S105" s="40" t="s">
        <v>12</v>
      </c>
      <c r="T105" s="498">
        <f>ROUND(O105*P105*R105,2)</f>
        <v>8504.67</v>
      </c>
      <c r="U105" s="51"/>
    </row>
    <row r="106" spans="1:21" ht="16.5" thickBot="1" x14ac:dyDescent="0.3">
      <c r="A106" s="52"/>
      <c r="B106" s="52" t="s">
        <v>103</v>
      </c>
      <c r="C106" s="703">
        <f>H18+H19+H22+H25+H28+H29</f>
        <v>85.896000000000001</v>
      </c>
      <c r="D106" s="703"/>
      <c r="E106" s="46">
        <f>H8</f>
        <v>1.0407999999999999</v>
      </c>
      <c r="F106" s="302">
        <f>'1461'!F106</f>
        <v>910.12</v>
      </c>
      <c r="G106" s="39" t="s">
        <v>12</v>
      </c>
      <c r="H106" s="94">
        <f>ROUND(C106*E106*F106,2)</f>
        <v>81365.23</v>
      </c>
      <c r="N106" s="53" t="s">
        <v>14</v>
      </c>
      <c r="O106" s="54">
        <f>T18+T19+T22+T25+T28+T29</f>
        <v>31</v>
      </c>
      <c r="P106" s="761">
        <f>T8</f>
        <v>1.0407999999999999</v>
      </c>
      <c r="Q106" s="761"/>
      <c r="R106" s="48">
        <f>F106</f>
        <v>910.12</v>
      </c>
      <c r="S106" s="40" t="s">
        <v>12</v>
      </c>
      <c r="T106" s="498">
        <f>ROUND(O106*P106*R106,2)</f>
        <v>29364.84</v>
      </c>
      <c r="U106" s="51"/>
    </row>
    <row r="107" spans="1:21" ht="16.5" thickBot="1" x14ac:dyDescent="0.3">
      <c r="A107" s="55"/>
      <c r="B107" s="122" t="s">
        <v>102</v>
      </c>
      <c r="C107" s="716">
        <f>SUM(C104:C106)</f>
        <v>186.86700000000002</v>
      </c>
      <c r="D107" s="716"/>
      <c r="E107" s="123"/>
      <c r="F107" s="123"/>
      <c r="G107" s="123"/>
      <c r="H107" s="124" t="s">
        <v>100</v>
      </c>
      <c r="I107" s="101">
        <f>IF(A1=75,0,H106+H105+H104)</f>
        <v>179089.90999999997</v>
      </c>
      <c r="N107" s="56" t="s">
        <v>89</v>
      </c>
      <c r="O107" s="57">
        <f>SUM(O104:O106)</f>
        <v>49</v>
      </c>
      <c r="P107" s="756" t="s">
        <v>16</v>
      </c>
      <c r="Q107" s="757"/>
      <c r="R107" s="757"/>
      <c r="S107" s="757"/>
      <c r="T107" s="757"/>
      <c r="U107" s="492">
        <f>IF(N1=75,0,T106+T105+T104)</f>
        <v>46776.97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8</v>
      </c>
      <c r="D113" s="143">
        <v>8</v>
      </c>
      <c r="E113" s="116">
        <f>(C113+D113)/2</f>
        <v>8</v>
      </c>
      <c r="F113" s="126" t="s">
        <v>30</v>
      </c>
      <c r="G113" s="303">
        <f>'1461'!G113</f>
        <v>567</v>
      </c>
      <c r="I113" s="101">
        <f>ROUND(G113*E113,2)</f>
        <v>4536</v>
      </c>
      <c r="N113" s="755" t="s">
        <v>52</v>
      </c>
      <c r="O113" s="755"/>
      <c r="P113" s="754">
        <f>IF(H133=1,E113,0)</f>
        <v>8</v>
      </c>
      <c r="Q113" s="754"/>
      <c r="R113" s="754"/>
      <c r="S113" s="83" t="s">
        <v>30</v>
      </c>
      <c r="T113" s="58">
        <f>G113</f>
        <v>567</v>
      </c>
      <c r="U113" s="492">
        <f>ROUND(T113*P113,2)</f>
        <v>4536</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1506469.0899999994</v>
      </c>
      <c r="N128" s="472"/>
      <c r="O128" s="471"/>
      <c r="P128" s="471"/>
      <c r="Q128" s="305"/>
      <c r="R128" s="305"/>
      <c r="S128" s="305"/>
      <c r="T128" s="305"/>
      <c r="U128" s="499">
        <f>SUM(U30,U85,U88,U90,U92,U94,U96,U107,U113,U114,U124,U126)</f>
        <v>395041.77</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1460641.3899999994</v>
      </c>
      <c r="N130" s="746" t="s">
        <v>450</v>
      </c>
      <c r="O130" s="747"/>
      <c r="P130" s="747"/>
      <c r="Q130" s="747"/>
      <c r="R130" s="747"/>
      <c r="S130" s="747"/>
      <c r="T130" s="747"/>
      <c r="U130" s="132">
        <f>U128-U53</f>
        <v>376934.85000000003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520</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376934.85000000003</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376934.85000000003</v>
      </c>
      <c r="I135" s="94">
        <f>ROUND(IF(E30=0,0,IF(E30&gt;250,-(((250/E30)*H135)*IF(G135="H",0.02,0.05)),IF(G135="H",-0.02*H135,-0.05*H135))),2)</f>
        <v>-18846.740000000002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1487622.3499999994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-496842.49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990779.8599999994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141539.98000000001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390</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391</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392</v>
      </c>
      <c r="B155" s="360"/>
      <c r="C155" s="360"/>
      <c r="D155" s="360"/>
      <c r="E155" s="360"/>
      <c r="F155" s="360"/>
      <c r="G155" s="360"/>
      <c r="H155" s="360"/>
      <c r="I155" s="360"/>
      <c r="N155" s="745"/>
      <c r="O155" s="745"/>
      <c r="P155" s="745"/>
      <c r="Q155" s="745"/>
      <c r="R155" s="745"/>
      <c r="S155" s="745"/>
      <c r="T155" s="745"/>
      <c r="U155" s="745"/>
    </row>
    <row r="156" spans="1:21" s="76" customFormat="1" x14ac:dyDescent="0.2">
      <c r="A156" s="358" t="s">
        <v>393</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394</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395</v>
      </c>
      <c r="B158" s="360"/>
      <c r="C158" s="360"/>
      <c r="D158" s="360"/>
      <c r="E158" s="360"/>
      <c r="F158" s="360"/>
      <c r="G158" s="360"/>
      <c r="H158" s="360"/>
      <c r="I158" s="360"/>
      <c r="N158" s="78"/>
    </row>
    <row r="159" spans="1:21" s="76" customFormat="1" x14ac:dyDescent="0.2">
      <c r="A159" s="358" t="s">
        <v>397</v>
      </c>
      <c r="B159" s="360"/>
      <c r="C159" s="360"/>
      <c r="D159" s="360"/>
      <c r="E159" s="360"/>
      <c r="F159" s="360"/>
      <c r="G159" s="360"/>
      <c r="H159" s="360"/>
      <c r="I159" s="360"/>
      <c r="N159" s="78"/>
    </row>
    <row r="160" spans="1:21" s="76" customFormat="1" x14ac:dyDescent="0.2">
      <c r="A160" s="364" t="s">
        <v>396</v>
      </c>
      <c r="B160" s="360"/>
      <c r="C160" s="360"/>
      <c r="D160" s="360"/>
      <c r="E160" s="360"/>
      <c r="F160" s="360"/>
      <c r="G160" s="360"/>
      <c r="H160" s="360"/>
      <c r="I160" s="360"/>
      <c r="N160" s="78"/>
    </row>
    <row r="161" spans="1:14" s="76" customFormat="1" x14ac:dyDescent="0.2">
      <c r="A161" s="358" t="s">
        <v>398</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401</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403</v>
      </c>
      <c r="B165" s="360"/>
      <c r="C165" s="360"/>
      <c r="D165" s="360"/>
      <c r="E165" s="360"/>
      <c r="F165" s="360"/>
      <c r="G165" s="360"/>
      <c r="H165" s="360"/>
      <c r="I165" s="360"/>
      <c r="N165" s="78"/>
    </row>
    <row r="166" spans="1:14" s="76" customFormat="1" ht="15.75" customHeight="1" x14ac:dyDescent="0.2">
      <c r="A166" s="364" t="s">
        <v>402</v>
      </c>
      <c r="B166" s="360"/>
      <c r="C166" s="360"/>
      <c r="D166" s="360"/>
      <c r="E166" s="360"/>
      <c r="F166" s="360"/>
      <c r="G166" s="360"/>
      <c r="H166" s="360"/>
      <c r="I166" s="360"/>
      <c r="N166" s="78"/>
    </row>
    <row r="167" spans="1:14" s="76" customFormat="1" ht="15.75" customHeight="1" x14ac:dyDescent="0.2">
      <c r="A167" s="358" t="s">
        <v>404</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406</v>
      </c>
      <c r="B169" s="360"/>
      <c r="C169" s="360"/>
      <c r="D169" s="360"/>
      <c r="E169" s="360"/>
      <c r="F169" s="360"/>
      <c r="G169" s="360"/>
      <c r="H169" s="360"/>
      <c r="I169" s="360"/>
      <c r="N169" s="78"/>
    </row>
    <row r="170" spans="1:14" s="76" customFormat="1" ht="15.75" customHeight="1" x14ac:dyDescent="0.2">
      <c r="A170" s="364" t="s">
        <v>405</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407</v>
      </c>
      <c r="B175" s="370"/>
      <c r="C175" s="370"/>
      <c r="D175" s="370"/>
      <c r="E175" s="370"/>
      <c r="F175" s="370"/>
      <c r="G175" s="370"/>
      <c r="H175" s="370"/>
      <c r="I175" s="370"/>
      <c r="J175" s="3"/>
      <c r="K175" s="3"/>
      <c r="L175" s="3"/>
      <c r="M175" s="3"/>
      <c r="N175" s="78"/>
    </row>
    <row r="176" spans="1:14" s="76" customFormat="1" ht="15.75" customHeight="1" x14ac:dyDescent="0.2">
      <c r="A176" s="376" t="s">
        <v>408</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CCC"/>
  </sheetPr>
  <dimension ref="A1:V221"/>
  <sheetViews>
    <sheetView topLeftCell="A25" workbookViewId="0">
      <selection activeCell="E61" sqref="E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256</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0.5</v>
      </c>
      <c r="D15" s="143">
        <v>0</v>
      </c>
      <c r="E15" s="116">
        <f t="shared" ref="E15:E29" si="1">IF(D$30=0,C15*2,C15+D15)</f>
        <v>1</v>
      </c>
      <c r="F15" s="788">
        <f>'1461'!F15:G15</f>
        <v>1.1180000000000001</v>
      </c>
      <c r="G15" s="788"/>
      <c r="H15" s="80">
        <f t="shared" ref="H15:H29" si="2">ROUND(E15*F15,4)</f>
        <v>1.1180000000000001</v>
      </c>
      <c r="I15" s="101">
        <f t="shared" ref="I15:I29" si="3">ROUND(ROUND(ROUND(H15*$C$8,4)*($H$8),2)*(MAX($H$9,1)),2)</f>
        <v>6203.21</v>
      </c>
      <c r="J15" s="65" t="str">
        <f>IF(ROUND(E15,2)=ROUND(SUM(E57:E59),2)," ","CHECK PK-3 LINES BELOW")</f>
        <v xml:space="preserve"> </v>
      </c>
      <c r="N15" s="747" t="s">
        <v>21</v>
      </c>
      <c r="O15" s="747"/>
      <c r="P15" s="789">
        <f t="shared" si="0"/>
        <v>1</v>
      </c>
      <c r="Q15" s="789"/>
      <c r="R15" s="793">
        <v>1</v>
      </c>
      <c r="S15" s="793"/>
      <c r="T15" s="95">
        <f t="shared" ref="T15:T29" si="4">ROUND(P15*R15,4)</f>
        <v>1</v>
      </c>
      <c r="U15" s="492">
        <f t="shared" ref="U15:U29" si="5">ROUND(ROUND(ROUND(T15*$C$8,4)*($H$8),2)*(MAX($H$9,1)),2)</f>
        <v>5548.48</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0.5</v>
      </c>
      <c r="D17" s="143">
        <v>0</v>
      </c>
      <c r="E17" s="116">
        <f t="shared" si="1"/>
        <v>1</v>
      </c>
      <c r="F17" s="788">
        <f>'1461'!F17:G17</f>
        <v>1</v>
      </c>
      <c r="G17" s="788"/>
      <c r="H17" s="80">
        <f t="shared" si="2"/>
        <v>1</v>
      </c>
      <c r="I17" s="101">
        <f t="shared" si="3"/>
        <v>5548.48</v>
      </c>
      <c r="J17" s="65" t="str">
        <f>IF(ROUND(E17,2)=ROUND(SUM(E60:E62),2)," ","CHECK 4-8 LINES BELOW")</f>
        <v xml:space="preserve"> </v>
      </c>
      <c r="N17" s="747" t="s">
        <v>23</v>
      </c>
      <c r="O17" s="747"/>
      <c r="P17" s="789">
        <f t="shared" si="0"/>
        <v>1</v>
      </c>
      <c r="Q17" s="789"/>
      <c r="R17" s="793">
        <v>1</v>
      </c>
      <c r="S17" s="793"/>
      <c r="T17" s="95">
        <f t="shared" si="4"/>
        <v>1</v>
      </c>
      <c r="U17" s="492">
        <f t="shared" si="5"/>
        <v>5548.48</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30.5</v>
      </c>
      <c r="D20" s="143">
        <v>0</v>
      </c>
      <c r="E20" s="116">
        <f t="shared" si="1"/>
        <v>61</v>
      </c>
      <c r="F20" s="788">
        <f>'1461'!F20:G20</f>
        <v>3.6970000000000001</v>
      </c>
      <c r="G20" s="788"/>
      <c r="H20" s="80">
        <f t="shared" si="2"/>
        <v>225.517</v>
      </c>
      <c r="I20" s="101">
        <f t="shared" si="3"/>
        <v>1251277.46</v>
      </c>
      <c r="N20" s="747" t="s">
        <v>79</v>
      </c>
      <c r="O20" s="747"/>
      <c r="P20" s="789">
        <f t="shared" si="0"/>
        <v>61</v>
      </c>
      <c r="Q20" s="789"/>
      <c r="R20" s="793">
        <v>1</v>
      </c>
      <c r="S20" s="793"/>
      <c r="T20" s="95">
        <f t="shared" si="4"/>
        <v>61</v>
      </c>
      <c r="U20" s="492">
        <f t="shared" si="5"/>
        <v>338457.52</v>
      </c>
    </row>
    <row r="21" spans="1:21" x14ac:dyDescent="0.25">
      <c r="A21" s="705" t="s">
        <v>80</v>
      </c>
      <c r="B21" s="705"/>
      <c r="C21" s="143">
        <v>29</v>
      </c>
      <c r="D21" s="143">
        <v>0</v>
      </c>
      <c r="E21" s="116">
        <f t="shared" si="1"/>
        <v>58</v>
      </c>
      <c r="F21" s="788">
        <f>'1461'!F21:G21</f>
        <v>3.6970000000000001</v>
      </c>
      <c r="G21" s="788"/>
      <c r="H21" s="80">
        <f t="shared" si="2"/>
        <v>214.42599999999999</v>
      </c>
      <c r="I21" s="101">
        <f t="shared" si="3"/>
        <v>1189739.23</v>
      </c>
      <c r="N21" s="747" t="s">
        <v>80</v>
      </c>
      <c r="O21" s="747"/>
      <c r="P21" s="789">
        <f t="shared" si="0"/>
        <v>58</v>
      </c>
      <c r="Q21" s="789"/>
      <c r="R21" s="793">
        <v>1</v>
      </c>
      <c r="S21" s="793"/>
      <c r="T21" s="95">
        <f t="shared" si="4"/>
        <v>58</v>
      </c>
      <c r="U21" s="492">
        <f t="shared" si="5"/>
        <v>321812.07</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10.5</v>
      </c>
      <c r="D23" s="143">
        <v>0</v>
      </c>
      <c r="E23" s="116">
        <f t="shared" si="1"/>
        <v>21</v>
      </c>
      <c r="F23" s="788">
        <f>'1461'!F23:G23</f>
        <v>5.992</v>
      </c>
      <c r="G23" s="788"/>
      <c r="H23" s="80">
        <f t="shared" si="2"/>
        <v>125.83199999999999</v>
      </c>
      <c r="I23" s="101">
        <f t="shared" si="3"/>
        <v>698176.84</v>
      </c>
      <c r="N23" s="747" t="s">
        <v>82</v>
      </c>
      <c r="O23" s="747"/>
      <c r="P23" s="789">
        <f t="shared" si="0"/>
        <v>21</v>
      </c>
      <c r="Q23" s="789"/>
      <c r="R23" s="793">
        <v>1</v>
      </c>
      <c r="S23" s="793"/>
      <c r="T23" s="95">
        <f t="shared" si="4"/>
        <v>21</v>
      </c>
      <c r="U23" s="492">
        <f t="shared" si="5"/>
        <v>116518.16</v>
      </c>
    </row>
    <row r="24" spans="1:21" x14ac:dyDescent="0.25">
      <c r="A24" s="705" t="s">
        <v>83</v>
      </c>
      <c r="B24" s="705"/>
      <c r="C24" s="143">
        <v>11</v>
      </c>
      <c r="D24" s="143">
        <v>0</v>
      </c>
      <c r="E24" s="116">
        <f t="shared" si="1"/>
        <v>22</v>
      </c>
      <c r="F24" s="788">
        <f>'1461'!F24:G24</f>
        <v>5.992</v>
      </c>
      <c r="G24" s="788"/>
      <c r="H24" s="80">
        <f t="shared" si="2"/>
        <v>131.82400000000001</v>
      </c>
      <c r="I24" s="101">
        <f t="shared" si="3"/>
        <v>731423.35</v>
      </c>
      <c r="N24" s="747" t="s">
        <v>83</v>
      </c>
      <c r="O24" s="747"/>
      <c r="P24" s="789">
        <f t="shared" si="0"/>
        <v>22</v>
      </c>
      <c r="Q24" s="789"/>
      <c r="R24" s="793">
        <v>1</v>
      </c>
      <c r="S24" s="793"/>
      <c r="T24" s="95">
        <f t="shared" si="4"/>
        <v>22</v>
      </c>
      <c r="U24" s="492">
        <f t="shared" si="5"/>
        <v>122066.65</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82</v>
      </c>
      <c r="D30" s="94">
        <f>SUM(D14:D29)</f>
        <v>0</v>
      </c>
      <c r="E30" s="94">
        <f>SUM(E14:E29)</f>
        <v>164</v>
      </c>
      <c r="F30" s="724"/>
      <c r="G30" s="724"/>
      <c r="H30" s="99">
        <f>SUM(H14:H29)</f>
        <v>699.7170000000001</v>
      </c>
      <c r="I30" s="94">
        <f>SUM(I14:I29)</f>
        <v>3882368.57</v>
      </c>
      <c r="N30" s="791" t="s">
        <v>5</v>
      </c>
      <c r="O30" s="791"/>
      <c r="P30" s="792">
        <f>SUM(P14:P29)</f>
        <v>164</v>
      </c>
      <c r="Q30" s="792"/>
      <c r="R30" s="781"/>
      <c r="S30" s="781"/>
      <c r="T30" s="100">
        <f>SUM(T14:T29)</f>
        <v>164</v>
      </c>
      <c r="U30" s="492">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76" t="s">
        <v>44</v>
      </c>
      <c r="O46" s="776"/>
      <c r="P46" s="776"/>
      <c r="Q46" s="776"/>
      <c r="R46" s="35">
        <f>R44+T30</f>
        <v>164</v>
      </c>
      <c r="S46" s="781" t="s">
        <v>42</v>
      </c>
      <c r="T46" s="781"/>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3280803.5900000003</v>
      </c>
      <c r="G51" s="109" t="s">
        <v>6</v>
      </c>
      <c r="H51" s="420">
        <v>5.5899999999999998E-2</v>
      </c>
      <c r="I51" s="101">
        <f>ROUND(F51*H51,2)</f>
        <v>183396.92</v>
      </c>
      <c r="N51" s="425"/>
      <c r="O51" s="426" t="s">
        <v>527</v>
      </c>
      <c r="P51" s="28"/>
      <c r="Q51" s="44" t="s">
        <v>417</v>
      </c>
      <c r="R51" s="427">
        <f>U30</f>
        <v>909951.3600000001</v>
      </c>
      <c r="S51" s="428" t="s">
        <v>6</v>
      </c>
      <c r="T51" s="429">
        <v>5.5899999999999998E-2</v>
      </c>
      <c r="U51" s="421">
        <f>ROUND(R51*T51,2)</f>
        <v>50866.28</v>
      </c>
    </row>
    <row r="52" spans="1:22" x14ac:dyDescent="0.25">
      <c r="A52" s="26"/>
      <c r="B52" s="578" t="s">
        <v>532</v>
      </c>
      <c r="C52" s="26"/>
      <c r="D52" s="26"/>
      <c r="E52" s="43" t="s">
        <v>417</v>
      </c>
      <c r="F52" s="419">
        <v>3280803.5900000003</v>
      </c>
      <c r="G52" s="109" t="s">
        <v>6</v>
      </c>
      <c r="H52" s="420">
        <v>1.0699999999999999E-2</v>
      </c>
      <c r="I52" s="101">
        <f>ROUND(F52*H52,2)</f>
        <v>35104.6</v>
      </c>
      <c r="N52" s="28"/>
      <c r="O52" s="579" t="s">
        <v>531</v>
      </c>
      <c r="P52" s="28"/>
      <c r="Q52" s="44" t="s">
        <v>417</v>
      </c>
      <c r="R52" s="427">
        <f>U30</f>
        <v>909951.3600000001</v>
      </c>
      <c r="S52" s="428" t="s">
        <v>6</v>
      </c>
      <c r="T52" s="429">
        <v>1.0699999999999999E-2</v>
      </c>
      <c r="U52" s="430">
        <f>ROUND(R52*T52,2)</f>
        <v>9736.48</v>
      </c>
    </row>
    <row r="53" spans="1:22" x14ac:dyDescent="0.25">
      <c r="A53" s="26"/>
      <c r="B53" s="81" t="s">
        <v>418</v>
      </c>
      <c r="C53" s="26"/>
      <c r="D53" s="26"/>
      <c r="E53" s="43"/>
      <c r="F53" s="419"/>
      <c r="G53" s="109"/>
      <c r="H53" s="420"/>
      <c r="I53" s="97">
        <f>SUM(I51:I52)</f>
        <v>218501.52000000002</v>
      </c>
      <c r="N53" s="28"/>
      <c r="O53" s="402" t="s">
        <v>418</v>
      </c>
      <c r="P53" s="28"/>
      <c r="Q53" s="44"/>
      <c r="R53" s="427"/>
      <c r="S53" s="428"/>
      <c r="T53" s="429"/>
      <c r="U53" s="421">
        <f>SUM(U51:U52)</f>
        <v>60602.759999999995</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IF(D$72=0,C57*2,C57+D57)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0.5</v>
      </c>
      <c r="D59" s="143">
        <v>0</v>
      </c>
      <c r="E59" s="116">
        <f>IF(D$66=0,C59*2,C59+D59)</f>
        <v>1</v>
      </c>
      <c r="F59" s="462" t="s">
        <v>455</v>
      </c>
      <c r="G59" s="462">
        <v>253</v>
      </c>
      <c r="H59" s="476">
        <f>'1461'!H59</f>
        <v>6896</v>
      </c>
      <c r="I59" s="101">
        <f t="shared" si="11"/>
        <v>6896</v>
      </c>
      <c r="N59" s="779"/>
      <c r="O59" s="779"/>
      <c r="P59" s="773"/>
      <c r="Q59" s="773"/>
      <c r="R59" s="468" t="s">
        <v>455</v>
      </c>
      <c r="S59" s="468">
        <v>253</v>
      </c>
      <c r="T59" s="479">
        <f t="shared" si="12"/>
        <v>6896</v>
      </c>
      <c r="U59" s="493">
        <f t="shared" si="13"/>
        <v>0</v>
      </c>
      <c r="V59" s="443"/>
    </row>
    <row r="60" spans="1:22" x14ac:dyDescent="0.25">
      <c r="A60" s="721"/>
      <c r="B60" s="721"/>
      <c r="C60" s="143">
        <v>0.5</v>
      </c>
      <c r="D60" s="143">
        <v>0</v>
      </c>
      <c r="E60" s="116">
        <f>IF(D$66=0,C60*2,C60+D60)</f>
        <v>1</v>
      </c>
      <c r="F60" s="463" t="s">
        <v>13</v>
      </c>
      <c r="G60" s="462">
        <v>251</v>
      </c>
      <c r="H60" s="476">
        <f>'1461'!H60</f>
        <v>1173</v>
      </c>
      <c r="I60" s="101">
        <f t="shared" si="11"/>
        <v>1173</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c r="D62" s="143">
        <v>0</v>
      </c>
      <c r="E62" s="116">
        <f>IF(D$66=0,C62*2,C62+D62)</f>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v>
      </c>
      <c r="D66" s="97">
        <f>SUM(D57:D65)</f>
        <v>0</v>
      </c>
      <c r="E66" s="97">
        <f>SUM(E57:E65)</f>
        <v>2</v>
      </c>
      <c r="F66" s="708" t="s">
        <v>464</v>
      </c>
      <c r="G66" s="708"/>
      <c r="H66" s="708"/>
      <c r="I66" s="97">
        <f>SUM(I57:I65)</f>
        <v>8069</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164</v>
      </c>
      <c r="D69" s="718" t="s">
        <v>430</v>
      </c>
      <c r="E69" s="718"/>
      <c r="F69" s="718"/>
      <c r="G69" s="718"/>
      <c r="H69" s="299">
        <f>'1461'!H69</f>
        <v>210228.91</v>
      </c>
      <c r="I69" s="113"/>
      <c r="N69" s="746" t="s">
        <v>423</v>
      </c>
      <c r="O69" s="747"/>
      <c r="P69" s="41">
        <f>P30</f>
        <v>164</v>
      </c>
      <c r="Q69" s="771" t="s">
        <v>425</v>
      </c>
      <c r="R69" s="772"/>
      <c r="S69" s="772"/>
      <c r="T69" s="760">
        <f>H69</f>
        <v>210228.91</v>
      </c>
      <c r="U69" s="760"/>
    </row>
    <row r="70" spans="1:22" x14ac:dyDescent="0.25">
      <c r="B70" s="69"/>
      <c r="G70" s="42" t="s">
        <v>12</v>
      </c>
      <c r="H70" s="114">
        <f>ROUND(C69/H69,6)</f>
        <v>7.7999999999999999E-4</v>
      </c>
      <c r="I70" s="115"/>
      <c r="N70" s="747"/>
      <c r="O70" s="747"/>
      <c r="P70" s="747"/>
      <c r="Q70" s="747"/>
      <c r="R70" s="747"/>
      <c r="S70" s="747"/>
      <c r="T70" s="765">
        <f>ROUND(P69/T69,6)</f>
        <v>7.7999999999999999E-4</v>
      </c>
      <c r="U70" s="765"/>
    </row>
    <row r="71" spans="1:22" x14ac:dyDescent="0.25">
      <c r="A71" s="461" t="s">
        <v>467</v>
      </c>
      <c r="N71" s="472" t="s">
        <v>475</v>
      </c>
      <c r="O71" s="51"/>
      <c r="P71" s="51"/>
      <c r="Q71" s="51"/>
      <c r="R71" s="51"/>
      <c r="S71" s="51"/>
      <c r="T71" s="51"/>
      <c r="U71" s="51"/>
    </row>
    <row r="72" spans="1:22" x14ac:dyDescent="0.25">
      <c r="A72" s="704" t="s">
        <v>420</v>
      </c>
      <c r="B72" s="705"/>
      <c r="C72" s="112">
        <f>H30</f>
        <v>699.7170000000001</v>
      </c>
      <c r="D72" s="718" t="s">
        <v>431</v>
      </c>
      <c r="E72" s="718"/>
      <c r="F72" s="718"/>
      <c r="G72" s="718"/>
      <c r="H72" s="300">
        <f>'1461'!H72</f>
        <v>234891.44</v>
      </c>
      <c r="I72" s="116"/>
      <c r="N72" s="746" t="s">
        <v>424</v>
      </c>
      <c r="O72" s="747"/>
      <c r="P72" s="41">
        <f>T30</f>
        <v>164</v>
      </c>
      <c r="Q72" s="771" t="s">
        <v>426</v>
      </c>
      <c r="R72" s="772"/>
      <c r="S72" s="772"/>
      <c r="T72" s="760">
        <f>H72</f>
        <v>234891.44</v>
      </c>
      <c r="U72" s="760"/>
    </row>
    <row r="73" spans="1:22" x14ac:dyDescent="0.25">
      <c r="G73" s="42" t="s">
        <v>12</v>
      </c>
      <c r="H73" s="114">
        <f>ROUND(C72/H72,6)</f>
        <v>2.9789999999999999E-3</v>
      </c>
      <c r="I73" s="114"/>
      <c r="N73" s="747"/>
      <c r="O73" s="747"/>
      <c r="P73" s="747"/>
      <c r="Q73" s="747"/>
      <c r="R73" s="747"/>
      <c r="S73" s="747"/>
      <c r="T73" s="765">
        <f>ROUND(P72/T72,6)</f>
        <v>6.9800000000000005E-4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164</v>
      </c>
      <c r="D75" s="717" t="s">
        <v>432</v>
      </c>
      <c r="E75" s="717"/>
      <c r="F75" s="717"/>
      <c r="G75" s="717"/>
      <c r="H75" s="299">
        <f>'1461'!H75</f>
        <v>187665.41</v>
      </c>
      <c r="I75" s="113"/>
      <c r="N75" s="746" t="s">
        <v>422</v>
      </c>
      <c r="O75" s="747"/>
      <c r="P75" s="41">
        <f>P30</f>
        <v>164</v>
      </c>
      <c r="Q75" s="767" t="s">
        <v>427</v>
      </c>
      <c r="R75" s="768"/>
      <c r="S75" s="768"/>
      <c r="T75" s="760">
        <f>H75</f>
        <v>187665.41</v>
      </c>
      <c r="U75" s="760"/>
    </row>
    <row r="76" spans="1:22" x14ac:dyDescent="0.25">
      <c r="B76" s="69"/>
      <c r="G76" s="42" t="s">
        <v>12</v>
      </c>
      <c r="H76" s="114">
        <f>ROUND(C75/H75,6)</f>
        <v>8.7399999999999999E-4</v>
      </c>
      <c r="I76" s="115"/>
      <c r="N76" s="747"/>
      <c r="O76" s="747"/>
      <c r="P76" s="747"/>
      <c r="Q76" s="747"/>
      <c r="R76" s="747"/>
      <c r="S76" s="747"/>
      <c r="T76" s="765">
        <f>ROUND(P75/T75,6)</f>
        <v>8.7399999999999999E-4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164</v>
      </c>
      <c r="D78" s="713" t="s">
        <v>433</v>
      </c>
      <c r="E78" s="713"/>
      <c r="F78" s="713"/>
      <c r="G78" s="713"/>
      <c r="H78" s="299">
        <f>'1461'!H78</f>
        <v>209892.26</v>
      </c>
      <c r="I78" s="113"/>
      <c r="N78" s="746" t="s">
        <v>422</v>
      </c>
      <c r="O78" s="747"/>
      <c r="P78" s="41">
        <f>P30</f>
        <v>164</v>
      </c>
      <c r="Q78" s="769" t="s">
        <v>428</v>
      </c>
      <c r="R78" s="770"/>
      <c r="S78" s="770"/>
      <c r="T78" s="760">
        <f>H78</f>
        <v>209892.26</v>
      </c>
      <c r="U78" s="760"/>
    </row>
    <row r="79" spans="1:22" x14ac:dyDescent="0.25">
      <c r="B79" s="69"/>
      <c r="G79" s="42" t="s">
        <v>12</v>
      </c>
      <c r="H79" s="114">
        <f>ROUND(C78/H78,6)</f>
        <v>7.8100000000000001E-4</v>
      </c>
      <c r="I79" s="115"/>
      <c r="N79" s="747"/>
      <c r="O79" s="747"/>
      <c r="P79" s="747"/>
      <c r="Q79" s="747"/>
      <c r="R79" s="747"/>
      <c r="S79" s="747"/>
      <c r="T79" s="765">
        <f>ROUND(P78/T78,6)</f>
        <v>7.8100000000000001E-4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164</v>
      </c>
      <c r="D81" s="717" t="s">
        <v>434</v>
      </c>
      <c r="E81" s="717"/>
      <c r="F81" s="717"/>
      <c r="G81" s="717"/>
      <c r="H81" s="299">
        <f>'1461'!H81</f>
        <v>187328.76</v>
      </c>
      <c r="I81" s="113"/>
      <c r="N81" s="746" t="s">
        <v>435</v>
      </c>
      <c r="O81" s="747"/>
      <c r="P81" s="41">
        <f>P30</f>
        <v>164</v>
      </c>
      <c r="Q81" s="767" t="s">
        <v>436</v>
      </c>
      <c r="R81" s="768"/>
      <c r="S81" s="768"/>
      <c r="T81" s="760">
        <f>H81</f>
        <v>187328.76</v>
      </c>
      <c r="U81" s="760"/>
    </row>
    <row r="82" spans="1:21" x14ac:dyDescent="0.25">
      <c r="B82" s="69"/>
      <c r="G82" s="42" t="s">
        <v>12</v>
      </c>
      <c r="H82" s="114">
        <f>ROUND(C81/H81,6)</f>
        <v>8.7500000000000002E-4</v>
      </c>
      <c r="I82" s="115"/>
      <c r="N82" s="747"/>
      <c r="O82" s="747"/>
      <c r="P82" s="747"/>
      <c r="Q82" s="747"/>
      <c r="R82" s="747"/>
      <c r="S82" s="747"/>
      <c r="T82" s="765">
        <f>ROUND(P81/T81,6)</f>
        <v>8.7500000000000002E-4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7.8100000000000001E-4</v>
      </c>
      <c r="I85" s="101">
        <f>ROUND(F85*H85,2)</f>
        <v>36053.85</v>
      </c>
      <c r="N85" s="472" t="s">
        <v>471</v>
      </c>
      <c r="O85" s="51"/>
      <c r="P85" s="51"/>
      <c r="Q85" s="44"/>
      <c r="R85" s="438">
        <f>F85</f>
        <v>46163704</v>
      </c>
      <c r="S85" s="38" t="s">
        <v>6</v>
      </c>
      <c r="T85" s="440">
        <f>T79</f>
        <v>7.8100000000000001E-4</v>
      </c>
      <c r="U85" s="492">
        <f>ROUND(R85*T85,2)</f>
        <v>36053.85</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7.7999999999999999E-4</v>
      </c>
      <c r="I88" s="101">
        <f>ROUND(F88*H88,2)</f>
        <v>0</v>
      </c>
      <c r="N88" s="766" t="s">
        <v>99</v>
      </c>
      <c r="O88" s="747"/>
      <c r="P88" s="747"/>
      <c r="Q88" s="44"/>
      <c r="R88" s="438">
        <f>F88</f>
        <v>0</v>
      </c>
      <c r="S88" s="38" t="s">
        <v>6</v>
      </c>
      <c r="T88" s="440">
        <f>T70</f>
        <v>7.7999999999999999E-4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8.7500000000000002E-4</v>
      </c>
      <c r="I90" s="101">
        <f>ROUND(F90*H90,2)</f>
        <v>16661.77</v>
      </c>
      <c r="N90" s="472" t="s">
        <v>472</v>
      </c>
      <c r="O90" s="51"/>
      <c r="P90" s="51"/>
      <c r="Q90" s="44"/>
      <c r="R90" s="438">
        <f>F90</f>
        <v>19042026</v>
      </c>
      <c r="S90" s="38" t="s">
        <v>6</v>
      </c>
      <c r="T90" s="440">
        <f>T82</f>
        <v>8.7500000000000002E-4</v>
      </c>
      <c r="U90" s="492">
        <f>ROUND(R90*T90,2)</f>
        <v>16661.77</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8.7399999999999999E-4</v>
      </c>
      <c r="I92" s="101">
        <f t="shared" ref="I92:I96" si="14">ROUND(F92*H92,2)</f>
        <v>9999.57</v>
      </c>
      <c r="N92" s="472" t="s">
        <v>473</v>
      </c>
      <c r="O92" s="51"/>
      <c r="P92" s="51"/>
      <c r="Q92" s="44"/>
      <c r="R92" s="438">
        <f t="shared" ref="R92:R96" si="15">F92</f>
        <v>11441151</v>
      </c>
      <c r="S92" s="38" t="s">
        <v>6</v>
      </c>
      <c r="T92" s="440">
        <f>T76</f>
        <v>8.7399999999999999E-4</v>
      </c>
      <c r="U92" s="492">
        <f>ROUND(R92*T92,2)</f>
        <v>9999.57</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2.9789999999999999E-3</v>
      </c>
      <c r="I94" s="101">
        <f t="shared" si="14"/>
        <v>761899.55</v>
      </c>
      <c r="N94" s="747" t="s">
        <v>438</v>
      </c>
      <c r="O94" s="747"/>
      <c r="P94" s="747"/>
      <c r="Q94" s="44"/>
      <c r="R94" s="438">
        <f t="shared" si="15"/>
        <v>255756816</v>
      </c>
      <c r="S94" s="38" t="s">
        <v>6</v>
      </c>
      <c r="T94" s="440">
        <f>T73</f>
        <v>6.9800000000000005E-4</v>
      </c>
      <c r="U94" s="492">
        <f>ROUND(R94*T94,2)</f>
        <v>178518.26</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2.9789999999999999E-3</v>
      </c>
      <c r="I96" s="101">
        <f t="shared" si="14"/>
        <v>-4723.38</v>
      </c>
      <c r="N96" s="746" t="s">
        <v>439</v>
      </c>
      <c r="O96" s="747"/>
      <c r="P96" s="747"/>
      <c r="Q96" s="44"/>
      <c r="R96" s="438">
        <f t="shared" si="15"/>
        <v>-1585559</v>
      </c>
      <c r="S96" s="38" t="s">
        <v>6</v>
      </c>
      <c r="T96" s="440">
        <f>T73</f>
        <v>6.9800000000000005E-4</v>
      </c>
      <c r="U96" s="492">
        <f>ROUND(R96*T96,2)</f>
        <v>-1106.72</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7.7999999999999999E-4</v>
      </c>
      <c r="I98" s="101">
        <f t="shared" ref="I98" si="16">ROUND(F98*H98,2)</f>
        <v>0</v>
      </c>
      <c r="N98" s="551" t="s">
        <v>513</v>
      </c>
      <c r="O98" s="551"/>
      <c r="P98" s="551"/>
      <c r="Q98" s="44"/>
      <c r="R98" s="554">
        <f>F98</f>
        <v>0</v>
      </c>
      <c r="S98" s="552" t="s">
        <v>6</v>
      </c>
      <c r="T98" s="440">
        <f>T70</f>
        <v>7.7999999999999999E-4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352.46699999999998</v>
      </c>
      <c r="D104" s="703"/>
      <c r="E104" s="46">
        <f>H8</f>
        <v>1.0407999999999999</v>
      </c>
      <c r="F104" s="302">
        <f>'1461'!F104</f>
        <v>950.92</v>
      </c>
      <c r="G104" s="39" t="s">
        <v>12</v>
      </c>
      <c r="H104" s="101">
        <f>ROUND(C104*E104*F104,2)</f>
        <v>348842.77</v>
      </c>
      <c r="I104" s="104"/>
      <c r="N104" s="28" t="s">
        <v>17</v>
      </c>
      <c r="O104" s="47">
        <f>T14+T15+T20+T23+T26</f>
        <v>83</v>
      </c>
      <c r="P104" s="761">
        <f>T8</f>
        <v>1.0407999999999999</v>
      </c>
      <c r="Q104" s="761"/>
      <c r="R104" s="48">
        <f>F104</f>
        <v>950.92</v>
      </c>
      <c r="S104" s="40" t="s">
        <v>12</v>
      </c>
      <c r="T104" s="498">
        <f>ROUND(O104*P104*R104,2)</f>
        <v>82146.559999999998</v>
      </c>
      <c r="U104" s="102"/>
    </row>
    <row r="105" spans="1:21" x14ac:dyDescent="0.25">
      <c r="A105" s="49"/>
      <c r="B105" s="49" t="s">
        <v>104</v>
      </c>
      <c r="C105" s="703">
        <f>H16+H17+H21+H24+H27</f>
        <v>347.25</v>
      </c>
      <c r="D105" s="703"/>
      <c r="E105" s="46">
        <f>H8</f>
        <v>1.0407999999999999</v>
      </c>
      <c r="F105" s="302">
        <f>'1461'!F105</f>
        <v>907.92</v>
      </c>
      <c r="G105" s="39" t="s">
        <v>12</v>
      </c>
      <c r="H105" s="101">
        <f>ROUND(C105*E105*F105,2)</f>
        <v>328138.45</v>
      </c>
      <c r="N105" s="50" t="s">
        <v>13</v>
      </c>
      <c r="O105" s="47">
        <f>T16+T17+T21+T24+T27</f>
        <v>81</v>
      </c>
      <c r="P105" s="761">
        <f>T8</f>
        <v>1.0407999999999999</v>
      </c>
      <c r="Q105" s="761"/>
      <c r="R105" s="48">
        <f>F105</f>
        <v>907.92</v>
      </c>
      <c r="S105" s="40" t="s">
        <v>12</v>
      </c>
      <c r="T105" s="498">
        <f>ROUND(O105*P105*R105,2)</f>
        <v>76542.009999999995</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699.71699999999998</v>
      </c>
      <c r="D107" s="716"/>
      <c r="E107" s="123"/>
      <c r="F107" s="123"/>
      <c r="G107" s="123"/>
      <c r="H107" s="124" t="s">
        <v>100</v>
      </c>
      <c r="I107" s="101">
        <f>IF(A1=75,0,H106+H105+H104)</f>
        <v>676981.22</v>
      </c>
      <c r="N107" s="56" t="s">
        <v>89</v>
      </c>
      <c r="O107" s="57">
        <f>SUM(O104:O106)</f>
        <v>164</v>
      </c>
      <c r="P107" s="756" t="s">
        <v>16</v>
      </c>
      <c r="Q107" s="757"/>
      <c r="R107" s="757"/>
      <c r="S107" s="757"/>
      <c r="T107" s="757"/>
      <c r="U107" s="492">
        <f>IF(N1=75,0,T106+T105+T104)</f>
        <v>158688.57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1</v>
      </c>
      <c r="E114" s="116">
        <f>(C114+D114)/2</f>
        <v>0.5</v>
      </c>
      <c r="F114" s="126" t="s">
        <v>30</v>
      </c>
      <c r="G114" s="303">
        <f>'1461'!G114</f>
        <v>1821</v>
      </c>
      <c r="I114" s="101">
        <f>ROUND(G114*E114,2)</f>
        <v>910.5</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5388220.6499999994</v>
      </c>
      <c r="N128" s="472"/>
      <c r="O128" s="471"/>
      <c r="P128" s="471"/>
      <c r="Q128" s="305"/>
      <c r="R128" s="305"/>
      <c r="S128" s="305"/>
      <c r="T128" s="305"/>
      <c r="U128" s="499">
        <f>SUM(U30,U85,U88,U90,U92,U94,U96,U107,U113,U114,U124,U126)</f>
        <v>1308766.6600000001</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5169719.129999999</v>
      </c>
      <c r="N130" s="746" t="s">
        <v>450</v>
      </c>
      <c r="O130" s="747"/>
      <c r="P130" s="747"/>
      <c r="Q130" s="747"/>
      <c r="R130" s="747"/>
      <c r="S130" s="747"/>
      <c r="T130" s="747"/>
      <c r="U130" s="132">
        <f>U128-U53</f>
        <v>1248163.9000000001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1248163.9000000001</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1248163.9000000001</v>
      </c>
      <c r="I135" s="94">
        <f>ROUND(IF(E30=0,0,IF(E30&gt;250,-(((250/E30)*H135)*IF(G135="H",0.02,0.05)),IF(G135="H",-0.02*H135,-0.05*H135))),2)</f>
        <v>-62408.2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5325812.4499999993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-1872924.4000000004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3452888.0499999989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493269.72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390</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391</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392</v>
      </c>
      <c r="B155" s="360"/>
      <c r="C155" s="360"/>
      <c r="D155" s="360"/>
      <c r="E155" s="360"/>
      <c r="F155" s="360"/>
      <c r="G155" s="360"/>
      <c r="H155" s="360"/>
      <c r="I155" s="360"/>
      <c r="N155" s="745"/>
      <c r="O155" s="745"/>
      <c r="P155" s="745"/>
      <c r="Q155" s="745"/>
      <c r="R155" s="745"/>
      <c r="S155" s="745"/>
      <c r="T155" s="745"/>
      <c r="U155" s="745"/>
    </row>
    <row r="156" spans="1:21" s="76" customFormat="1" x14ac:dyDescent="0.2">
      <c r="A156" s="358" t="s">
        <v>393</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394</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395</v>
      </c>
      <c r="B158" s="360"/>
      <c r="C158" s="360"/>
      <c r="D158" s="360"/>
      <c r="E158" s="360"/>
      <c r="F158" s="360"/>
      <c r="G158" s="360"/>
      <c r="H158" s="360"/>
      <c r="I158" s="360"/>
      <c r="N158" s="78"/>
    </row>
    <row r="159" spans="1:21" s="76" customFormat="1" x14ac:dyDescent="0.2">
      <c r="A159" s="358" t="s">
        <v>397</v>
      </c>
      <c r="B159" s="360"/>
      <c r="C159" s="360"/>
      <c r="D159" s="360"/>
      <c r="E159" s="360"/>
      <c r="F159" s="360"/>
      <c r="G159" s="360"/>
      <c r="H159" s="360"/>
      <c r="I159" s="360"/>
      <c r="N159" s="78"/>
    </row>
    <row r="160" spans="1:21" s="76" customFormat="1" x14ac:dyDescent="0.2">
      <c r="A160" s="364" t="s">
        <v>396</v>
      </c>
      <c r="B160" s="360"/>
      <c r="C160" s="360"/>
      <c r="D160" s="360"/>
      <c r="E160" s="360"/>
      <c r="F160" s="360"/>
      <c r="G160" s="360"/>
      <c r="H160" s="360"/>
      <c r="I160" s="360"/>
      <c r="N160" s="78"/>
    </row>
    <row r="161" spans="1:14" s="76" customFormat="1" x14ac:dyDescent="0.2">
      <c r="A161" s="358" t="s">
        <v>398</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401</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403</v>
      </c>
      <c r="B165" s="360"/>
      <c r="C165" s="360"/>
      <c r="D165" s="360"/>
      <c r="E165" s="360"/>
      <c r="F165" s="360"/>
      <c r="G165" s="360"/>
      <c r="H165" s="360"/>
      <c r="I165" s="360"/>
      <c r="N165" s="78"/>
    </row>
    <row r="166" spans="1:14" s="76" customFormat="1" ht="15.75" customHeight="1" x14ac:dyDescent="0.2">
      <c r="A166" s="364" t="s">
        <v>402</v>
      </c>
      <c r="B166" s="360"/>
      <c r="C166" s="360"/>
      <c r="D166" s="360"/>
      <c r="E166" s="360"/>
      <c r="F166" s="360"/>
      <c r="G166" s="360"/>
      <c r="H166" s="360"/>
      <c r="I166" s="360"/>
      <c r="N166" s="78"/>
    </row>
    <row r="167" spans="1:14" s="76" customFormat="1" ht="15.75" customHeight="1" x14ac:dyDescent="0.2">
      <c r="A167" s="358" t="s">
        <v>404</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406</v>
      </c>
      <c r="B169" s="360"/>
      <c r="C169" s="360"/>
      <c r="D169" s="360"/>
      <c r="E169" s="360"/>
      <c r="F169" s="360"/>
      <c r="G169" s="360"/>
      <c r="H169" s="360"/>
      <c r="I169" s="360"/>
      <c r="N169" s="78"/>
    </row>
    <row r="170" spans="1:14" s="76" customFormat="1" ht="15.75" customHeight="1" x14ac:dyDescent="0.2">
      <c r="A170" s="364" t="s">
        <v>405</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407</v>
      </c>
      <c r="B175" s="370"/>
      <c r="C175" s="370"/>
      <c r="D175" s="370"/>
      <c r="E175" s="370"/>
      <c r="F175" s="370"/>
      <c r="G175" s="370"/>
      <c r="H175" s="370"/>
      <c r="I175" s="370"/>
      <c r="J175" s="3"/>
      <c r="K175" s="3"/>
      <c r="L175" s="3"/>
      <c r="M175" s="3"/>
      <c r="N175" s="78"/>
    </row>
    <row r="176" spans="1:14" s="76" customFormat="1" ht="15.75" customHeight="1" x14ac:dyDescent="0.2">
      <c r="A176" s="376" t="s">
        <v>408</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CCCC"/>
  </sheetPr>
  <dimension ref="A1:V221"/>
  <sheetViews>
    <sheetView topLeftCell="A25" workbookViewId="0">
      <selection activeCell="C14" sqref="C1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384</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120.12</v>
      </c>
      <c r="D14" s="141">
        <v>0</v>
      </c>
      <c r="E14" s="187">
        <f>IF(D$30=0,C14*2,C14+D14)</f>
        <v>240.24</v>
      </c>
      <c r="F14" s="797">
        <f>'1461'!F14:G14</f>
        <v>1.1180000000000001</v>
      </c>
      <c r="G14" s="797"/>
      <c r="H14" s="145">
        <f>ROUND(E14*F14,4)</f>
        <v>268.5883</v>
      </c>
      <c r="I14" s="111">
        <f>ROUND(ROUND(ROUND(H14*$C$8,4)*($H$8),2)*(MAX($H$9,1)),2)</f>
        <v>1490257.88</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27</v>
      </c>
      <c r="D15" s="143">
        <v>0</v>
      </c>
      <c r="E15" s="116">
        <f t="shared" ref="E15:E29" si="1">IF(D$30=0,C15*2,C15+D15)</f>
        <v>54</v>
      </c>
      <c r="F15" s="788">
        <f>'1461'!F15:G15</f>
        <v>1.1180000000000001</v>
      </c>
      <c r="G15" s="788"/>
      <c r="H15" s="80">
        <f t="shared" ref="H15:H29" si="2">ROUND(E15*F15,4)</f>
        <v>60.372</v>
      </c>
      <c r="I15" s="101">
        <f t="shared" ref="I15:I29" si="3">ROUND(ROUND(ROUND(H15*$C$8,4)*($H$8),2)*(MAX($H$9,1)),2)</f>
        <v>334973.08</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54.89</v>
      </c>
      <c r="D16" s="143">
        <v>0</v>
      </c>
      <c r="E16" s="116">
        <f t="shared" si="1"/>
        <v>109.78</v>
      </c>
      <c r="F16" s="788">
        <f>'1461'!F16:G16</f>
        <v>1</v>
      </c>
      <c r="G16" s="788"/>
      <c r="H16" s="80">
        <f t="shared" si="2"/>
        <v>109.78</v>
      </c>
      <c r="I16" s="101">
        <f t="shared" si="3"/>
        <v>609112.56999999995</v>
      </c>
      <c r="N16" s="747" t="s">
        <v>22</v>
      </c>
      <c r="O16" s="747"/>
      <c r="P16" s="789">
        <f t="shared" si="0"/>
        <v>0</v>
      </c>
      <c r="Q16" s="789"/>
      <c r="R16" s="793">
        <v>1</v>
      </c>
      <c r="S16" s="793"/>
      <c r="T16" s="95">
        <f t="shared" si="4"/>
        <v>0</v>
      </c>
      <c r="U16" s="492">
        <f t="shared" si="5"/>
        <v>0</v>
      </c>
    </row>
    <row r="17" spans="1:21" x14ac:dyDescent="0.25">
      <c r="A17" s="705" t="s">
        <v>23</v>
      </c>
      <c r="B17" s="705"/>
      <c r="C17" s="143">
        <v>16.5</v>
      </c>
      <c r="D17" s="143">
        <v>0</v>
      </c>
      <c r="E17" s="116">
        <f t="shared" si="1"/>
        <v>33</v>
      </c>
      <c r="F17" s="788">
        <f>'1461'!F17:G17</f>
        <v>1</v>
      </c>
      <c r="G17" s="788"/>
      <c r="H17" s="80">
        <f t="shared" si="2"/>
        <v>33</v>
      </c>
      <c r="I17" s="101">
        <f t="shared" si="3"/>
        <v>183099.97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58.879999999999995</v>
      </c>
      <c r="D26" s="143">
        <v>0</v>
      </c>
      <c r="E26" s="116">
        <f t="shared" si="1"/>
        <v>117.75999999999999</v>
      </c>
      <c r="F26" s="788">
        <f>'1461'!F26:G26</f>
        <v>1.1919999999999999</v>
      </c>
      <c r="G26" s="788"/>
      <c r="H26" s="80">
        <f t="shared" si="2"/>
        <v>140.3699</v>
      </c>
      <c r="I26" s="101">
        <f t="shared" si="3"/>
        <v>778840.14</v>
      </c>
      <c r="N26" s="747" t="s">
        <v>85</v>
      </c>
      <c r="O26" s="747"/>
      <c r="P26" s="789">
        <f t="shared" si="0"/>
        <v>0</v>
      </c>
      <c r="Q26" s="789"/>
      <c r="R26" s="793">
        <v>1</v>
      </c>
      <c r="S26" s="793"/>
      <c r="T26" s="95">
        <f t="shared" si="4"/>
        <v>0</v>
      </c>
      <c r="U26" s="492">
        <f t="shared" si="5"/>
        <v>0</v>
      </c>
    </row>
    <row r="27" spans="1:21" x14ac:dyDescent="0.25">
      <c r="A27" s="705" t="s">
        <v>86</v>
      </c>
      <c r="B27" s="705"/>
      <c r="C27" s="143">
        <v>12.11</v>
      </c>
      <c r="D27" s="143">
        <v>0</v>
      </c>
      <c r="E27" s="116">
        <f t="shared" si="1"/>
        <v>24.22</v>
      </c>
      <c r="F27" s="788">
        <f>'1461'!F27:G27</f>
        <v>1.1919999999999999</v>
      </c>
      <c r="G27" s="788"/>
      <c r="H27" s="80">
        <f t="shared" si="2"/>
        <v>28.870200000000001</v>
      </c>
      <c r="I27" s="101">
        <f t="shared" si="3"/>
        <v>160185.84</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289.5</v>
      </c>
      <c r="D30" s="94">
        <f>SUM(D14:D29)</f>
        <v>0</v>
      </c>
      <c r="E30" s="94">
        <f>SUM(E14:E29)</f>
        <v>579</v>
      </c>
      <c r="F30" s="724"/>
      <c r="G30" s="724"/>
      <c r="H30" s="99">
        <f>SUM(H14:H29)</f>
        <v>640.98040000000003</v>
      </c>
      <c r="I30" s="94">
        <f>SUM(I14:I29)</f>
        <v>3556469.48</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3604943.24</v>
      </c>
      <c r="G51" s="109" t="s">
        <v>6</v>
      </c>
      <c r="H51" s="420">
        <v>5.5899999999999998E-2</v>
      </c>
      <c r="I51" s="101">
        <f>ROUND(F51*H51,2)</f>
        <v>201516.33</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3604943.24</v>
      </c>
      <c r="G52" s="109" t="s">
        <v>6</v>
      </c>
      <c r="H52" s="420">
        <v>1.0699999999999999E-2</v>
      </c>
      <c r="I52" s="101">
        <f>ROUND(F52*H52,2)</f>
        <v>38572.89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240089.21999999997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24.509999999999998</v>
      </c>
      <c r="D57" s="143">
        <v>0</v>
      </c>
      <c r="E57" s="116">
        <f>IF(D$66=0,C57*2,C57+D57)</f>
        <v>49.019999999999996</v>
      </c>
      <c r="F57" s="462" t="s">
        <v>455</v>
      </c>
      <c r="G57" s="462">
        <v>251</v>
      </c>
      <c r="H57" s="476">
        <f>'1461'!H57</f>
        <v>1047</v>
      </c>
      <c r="I57" s="101">
        <f>ROUND(E57*H57,2)</f>
        <v>51323.94</v>
      </c>
      <c r="N57" s="778" t="s">
        <v>463</v>
      </c>
      <c r="O57" s="778"/>
      <c r="P57" s="780"/>
      <c r="Q57" s="780"/>
      <c r="R57" s="468" t="s">
        <v>455</v>
      </c>
      <c r="S57" s="468">
        <v>251</v>
      </c>
      <c r="T57" s="479">
        <f>H57</f>
        <v>1047</v>
      </c>
      <c r="U57" s="493">
        <f>ROUND(P57*T57,2)</f>
        <v>0</v>
      </c>
      <c r="V57" s="443"/>
    </row>
    <row r="58" spans="1:22" x14ac:dyDescent="0.25">
      <c r="A58" s="721"/>
      <c r="B58" s="721"/>
      <c r="C58" s="143">
        <v>2.4899999999999998</v>
      </c>
      <c r="D58" s="143">
        <v>0</v>
      </c>
      <c r="E58" s="116">
        <f>IF(D$66=0,C58*2,C58+D58)</f>
        <v>4.9799999999999995</v>
      </c>
      <c r="F58" s="462" t="s">
        <v>455</v>
      </c>
      <c r="G58" s="462">
        <v>252</v>
      </c>
      <c r="H58" s="476">
        <f>'1461'!H58</f>
        <v>3380</v>
      </c>
      <c r="I58" s="101">
        <f t="shared" ref="I58:I65" si="10">ROUND(E58*H58,2)</f>
        <v>16832.400000000001</v>
      </c>
      <c r="N58" s="779"/>
      <c r="O58" s="779"/>
      <c r="P58" s="773"/>
      <c r="Q58" s="773"/>
      <c r="R58" s="468" t="s">
        <v>455</v>
      </c>
      <c r="S58" s="468">
        <v>252</v>
      </c>
      <c r="T58" s="479">
        <f t="shared" ref="T58:T65" si="11">H58</f>
        <v>3380</v>
      </c>
      <c r="U58" s="493">
        <f t="shared" ref="U58:U65" si="12">ROUND(P58*T58,2)</f>
        <v>0</v>
      </c>
      <c r="V58" s="443"/>
    </row>
    <row r="59" spans="1:22" x14ac:dyDescent="0.25">
      <c r="A59" s="721"/>
      <c r="B59" s="721"/>
      <c r="C59" s="143">
        <v>0</v>
      </c>
      <c r="D59" s="143">
        <v>0</v>
      </c>
      <c r="E59" s="116">
        <f>IF(D$66=0,C59*2,C59+D59)</f>
        <v>0</v>
      </c>
      <c r="F59" s="462" t="s">
        <v>455</v>
      </c>
      <c r="G59" s="462">
        <v>253</v>
      </c>
      <c r="H59" s="476">
        <f>'1461'!H59</f>
        <v>6896</v>
      </c>
      <c r="I59" s="101">
        <f t="shared" si="10"/>
        <v>0</v>
      </c>
      <c r="N59" s="779"/>
      <c r="O59" s="779"/>
      <c r="P59" s="773"/>
      <c r="Q59" s="773"/>
      <c r="R59" s="468" t="s">
        <v>455</v>
      </c>
      <c r="S59" s="468">
        <v>253</v>
      </c>
      <c r="T59" s="479">
        <f t="shared" si="11"/>
        <v>6896</v>
      </c>
      <c r="U59" s="493">
        <f t="shared" si="12"/>
        <v>0</v>
      </c>
      <c r="V59" s="443"/>
    </row>
    <row r="60" spans="1:22" x14ac:dyDescent="0.25">
      <c r="A60" s="721"/>
      <c r="B60" s="721"/>
      <c r="C60" s="143">
        <v>16.079999999999998</v>
      </c>
      <c r="D60" s="143">
        <v>0</v>
      </c>
      <c r="E60" s="116">
        <f>IF(D$66=0,C60*2,C60+D60)</f>
        <v>32.159999999999997</v>
      </c>
      <c r="F60" s="463" t="s">
        <v>13</v>
      </c>
      <c r="G60" s="462">
        <v>251</v>
      </c>
      <c r="H60" s="476">
        <f>'1461'!H60</f>
        <v>1173</v>
      </c>
      <c r="I60" s="101">
        <f t="shared" si="10"/>
        <v>37723.68</v>
      </c>
      <c r="N60" s="779"/>
      <c r="O60" s="779"/>
      <c r="P60" s="773"/>
      <c r="Q60" s="773"/>
      <c r="R60" s="40" t="s">
        <v>13</v>
      </c>
      <c r="S60" s="468">
        <v>251</v>
      </c>
      <c r="T60" s="479">
        <f t="shared" si="11"/>
        <v>1173</v>
      </c>
      <c r="U60" s="493">
        <f t="shared" si="12"/>
        <v>0</v>
      </c>
      <c r="V60" s="443"/>
    </row>
    <row r="61" spans="1:22" x14ac:dyDescent="0.25">
      <c r="A61" s="721"/>
      <c r="B61" s="721"/>
      <c r="C61" s="143">
        <v>0.42</v>
      </c>
      <c r="D61" s="143">
        <v>0</v>
      </c>
      <c r="E61" s="116">
        <f>IF(D$66=0,C61*2,C61+D61)</f>
        <v>0.84</v>
      </c>
      <c r="F61" s="463" t="s">
        <v>13</v>
      </c>
      <c r="G61" s="462">
        <v>252</v>
      </c>
      <c r="H61" s="476">
        <f>'1461'!H61</f>
        <v>3506</v>
      </c>
      <c r="I61" s="101">
        <f t="shared" si="10"/>
        <v>2945.04</v>
      </c>
      <c r="N61" s="779"/>
      <c r="O61" s="779"/>
      <c r="P61" s="773"/>
      <c r="Q61" s="773"/>
      <c r="R61" s="40" t="s">
        <v>13</v>
      </c>
      <c r="S61" s="468">
        <v>252</v>
      </c>
      <c r="T61" s="479">
        <f t="shared" si="11"/>
        <v>3506</v>
      </c>
      <c r="U61" s="493">
        <f t="shared" si="12"/>
        <v>0</v>
      </c>
      <c r="V61" s="443"/>
    </row>
    <row r="62" spans="1:22" x14ac:dyDescent="0.25">
      <c r="A62" s="721"/>
      <c r="B62" s="721"/>
      <c r="C62" s="143">
        <v>0</v>
      </c>
      <c r="D62" s="143">
        <v>0</v>
      </c>
      <c r="E62" s="116">
        <f t="shared" ref="E62:E65" si="13">IF(D$72=0,C62*2,C62+D62)</f>
        <v>0</v>
      </c>
      <c r="F62" s="463" t="s">
        <v>13</v>
      </c>
      <c r="G62" s="462">
        <v>253</v>
      </c>
      <c r="H62" s="476">
        <f>'1461'!H62</f>
        <v>7023</v>
      </c>
      <c r="I62" s="101">
        <f t="shared" si="10"/>
        <v>0</v>
      </c>
      <c r="N62" s="779"/>
      <c r="O62" s="779"/>
      <c r="P62" s="773"/>
      <c r="Q62" s="773"/>
      <c r="R62" s="40" t="s">
        <v>13</v>
      </c>
      <c r="S62" s="468">
        <v>253</v>
      </c>
      <c r="T62" s="479">
        <f t="shared" si="11"/>
        <v>7023</v>
      </c>
      <c r="U62" s="493">
        <f t="shared" si="12"/>
        <v>0</v>
      </c>
      <c r="V62" s="443"/>
    </row>
    <row r="63" spans="1:22" x14ac:dyDescent="0.25">
      <c r="A63" s="721"/>
      <c r="B63" s="721"/>
      <c r="C63" s="143">
        <v>0</v>
      </c>
      <c r="D63" s="143">
        <v>0</v>
      </c>
      <c r="E63" s="116">
        <f t="shared" si="13"/>
        <v>0</v>
      </c>
      <c r="F63" s="463" t="s">
        <v>14</v>
      </c>
      <c r="G63" s="462">
        <v>251</v>
      </c>
      <c r="H63" s="476">
        <f>'1461'!H63</f>
        <v>835</v>
      </c>
      <c r="I63" s="101">
        <f t="shared" si="10"/>
        <v>0</v>
      </c>
      <c r="N63" s="779"/>
      <c r="O63" s="779"/>
      <c r="P63" s="773"/>
      <c r="Q63" s="773"/>
      <c r="R63" s="40" t="s">
        <v>14</v>
      </c>
      <c r="S63" s="468">
        <v>251</v>
      </c>
      <c r="T63" s="479">
        <f t="shared" si="11"/>
        <v>835</v>
      </c>
      <c r="U63" s="493">
        <f t="shared" si="12"/>
        <v>0</v>
      </c>
      <c r="V63" s="443"/>
    </row>
    <row r="64" spans="1:22" x14ac:dyDescent="0.25">
      <c r="A64" s="721"/>
      <c r="B64" s="721"/>
      <c r="C64" s="143">
        <v>0</v>
      </c>
      <c r="D64" s="143">
        <v>0</v>
      </c>
      <c r="E64" s="116">
        <f t="shared" si="13"/>
        <v>0</v>
      </c>
      <c r="F64" s="463" t="s">
        <v>14</v>
      </c>
      <c r="G64" s="462">
        <v>252</v>
      </c>
      <c r="H64" s="476">
        <f>'1461'!H64</f>
        <v>3168</v>
      </c>
      <c r="I64" s="101">
        <f t="shared" si="10"/>
        <v>0</v>
      </c>
      <c r="N64" s="779"/>
      <c r="O64" s="779"/>
      <c r="P64" s="773"/>
      <c r="Q64" s="773"/>
      <c r="R64" s="40" t="s">
        <v>14</v>
      </c>
      <c r="S64" s="468">
        <v>252</v>
      </c>
      <c r="T64" s="479">
        <f t="shared" si="11"/>
        <v>3168</v>
      </c>
      <c r="U64" s="493">
        <f t="shared" si="12"/>
        <v>0</v>
      </c>
      <c r="V64" s="443"/>
    </row>
    <row r="65" spans="1:22" ht="16.5" thickBot="1" x14ac:dyDescent="0.3">
      <c r="A65" s="721"/>
      <c r="B65" s="721"/>
      <c r="C65" s="143">
        <v>0</v>
      </c>
      <c r="D65" s="143">
        <v>0</v>
      </c>
      <c r="E65" s="116">
        <f t="shared" si="13"/>
        <v>0</v>
      </c>
      <c r="F65" s="463" t="s">
        <v>14</v>
      </c>
      <c r="G65" s="462">
        <v>253</v>
      </c>
      <c r="H65" s="476">
        <f>'1461'!H65</f>
        <v>6685</v>
      </c>
      <c r="I65" s="101">
        <f t="shared" si="10"/>
        <v>0</v>
      </c>
      <c r="N65" s="779"/>
      <c r="O65" s="779"/>
      <c r="P65" s="774"/>
      <c r="Q65" s="774"/>
      <c r="R65" s="40" t="s">
        <v>14</v>
      </c>
      <c r="S65" s="468">
        <v>253</v>
      </c>
      <c r="T65" s="479">
        <f t="shared" si="11"/>
        <v>6685</v>
      </c>
      <c r="U65" s="494">
        <f t="shared" si="12"/>
        <v>0</v>
      </c>
      <c r="V65" s="443"/>
    </row>
    <row r="66" spans="1:22" ht="16.5" thickBot="1" x14ac:dyDescent="0.3">
      <c r="A66" s="459"/>
      <c r="C66" s="97">
        <f>SUM(C57:C65)</f>
        <v>43.5</v>
      </c>
      <c r="D66" s="97">
        <f>SUM(D57:D65)</f>
        <v>0</v>
      </c>
      <c r="E66" s="97">
        <f>SUM(E57:E65)</f>
        <v>87</v>
      </c>
      <c r="F66" s="708" t="s">
        <v>464</v>
      </c>
      <c r="G66" s="708"/>
      <c r="H66" s="708"/>
      <c r="I66" s="97">
        <f>SUM(I57:I65)</f>
        <v>108825.05999999998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579</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2.7539999999999999E-3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640.98040000000003</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2.7290000000000001E-3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579</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3.0850000000000001E-3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579</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2.7590000000000002E-3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579</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3.091E-3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2.7590000000000002E-3</v>
      </c>
      <c r="I85" s="101">
        <f>ROUND(F85*H85,2)</f>
        <v>127365.66</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2.7539999999999999E-3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3.091E-3</v>
      </c>
      <c r="I90" s="101">
        <f>ROUND(F90*H90,2)</f>
        <v>58858.9</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3.0850000000000001E-3</v>
      </c>
      <c r="I92" s="101">
        <f t="shared" ref="I92:I96" si="14">ROUND(F92*H92,2)</f>
        <v>35295.949999999997</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2.7290000000000001E-3</v>
      </c>
      <c r="I94" s="101">
        <f t="shared" si="14"/>
        <v>697960.35</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2.7290000000000001E-3</v>
      </c>
      <c r="I96" s="101">
        <f t="shared" si="14"/>
        <v>-4326.99</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2.7539999999999999E-3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469.33019999999999</v>
      </c>
      <c r="D104" s="703"/>
      <c r="E104" s="46">
        <f>H8</f>
        <v>1.0407999999999999</v>
      </c>
      <c r="F104" s="302">
        <f>'1461'!F104</f>
        <v>950.92</v>
      </c>
      <c r="G104" s="39" t="s">
        <v>12</v>
      </c>
      <c r="H104" s="101">
        <f>ROUND(C104*E104*F104,2)</f>
        <v>464504.33</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171.65020000000001</v>
      </c>
      <c r="D105" s="703"/>
      <c r="E105" s="46">
        <f>H8</f>
        <v>1.0407999999999999</v>
      </c>
      <c r="F105" s="302">
        <f>'1461'!F105</f>
        <v>907.92</v>
      </c>
      <c r="G105" s="39" t="s">
        <v>12</v>
      </c>
      <c r="H105" s="101">
        <f>ROUND(C105*E105*F105,2)</f>
        <v>162203.10999999999</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640.98040000000003</v>
      </c>
      <c r="D107" s="716"/>
      <c r="E107" s="123"/>
      <c r="F107" s="123"/>
      <c r="G107" s="123"/>
      <c r="H107" s="124" t="s">
        <v>100</v>
      </c>
      <c r="I107" s="101">
        <f>IF(A1=75,0,H106+H105+H104)</f>
        <v>626707.43999999994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203</v>
      </c>
      <c r="D113" s="143">
        <v>201</v>
      </c>
      <c r="E113" s="116">
        <f>(C113+D113)/2</f>
        <v>202</v>
      </c>
      <c r="F113" s="126" t="s">
        <v>30</v>
      </c>
      <c r="G113" s="303">
        <f>'1461'!G113</f>
        <v>567</v>
      </c>
      <c r="I113" s="101">
        <f>ROUND(G113*E113,2)</f>
        <v>114534</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5321689.8499999996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5081600.63</v>
      </c>
      <c r="N130" s="746"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5081600.63</v>
      </c>
      <c r="I135" s="94">
        <f>ROUND(IF(E30=0,0,IF(E30&gt;250,-(((250/E30)*H135)*IF(G135="H",0.02,0.05)),IF(G135="H",-0.02*H135,-0.05*H135))),2)</f>
        <v>-109706.4</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5211983.4499999993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-2197527.38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3014456.0699999994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430636.58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144373.63150000002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119.8</v>
      </c>
      <c r="D14" s="143">
        <v>0</v>
      </c>
      <c r="E14" s="187">
        <f>IF(D$30=0,C14*2,C14+D14)</f>
        <v>239.6</v>
      </c>
      <c r="F14" s="797">
        <f>'1461'!F14:G14</f>
        <v>1.1180000000000001</v>
      </c>
      <c r="G14" s="797"/>
      <c r="H14" s="145">
        <f>ROUND(E14*F14,4)</f>
        <v>267.87279999999998</v>
      </c>
      <c r="I14" s="111">
        <f>ROUND(ROUND(ROUND(H14*$C$8,4)*($H$8),2)*(MAX($H$9,1)),2)</f>
        <v>1486287.94</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23</v>
      </c>
      <c r="D15" s="143">
        <v>0</v>
      </c>
      <c r="E15" s="116">
        <f t="shared" ref="E15:E29" si="1">IF(D$30=0,C15*2,C15+D15)</f>
        <v>46</v>
      </c>
      <c r="F15" s="788">
        <f>'1461'!F15:G15</f>
        <v>1.1180000000000001</v>
      </c>
      <c r="G15" s="788"/>
      <c r="H15" s="80">
        <f t="shared" ref="H15:H29" si="2">ROUND(E15*F15,4)</f>
        <v>51.427999999999997</v>
      </c>
      <c r="I15" s="101">
        <f t="shared" ref="I15:I29" si="3">ROUND(ROUND(ROUND(H15*$C$8,4)*($H$8),2)*(MAX($H$9,1)),2)</f>
        <v>285347.43</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159.5</v>
      </c>
      <c r="D16" s="143">
        <v>0</v>
      </c>
      <c r="E16" s="116">
        <f t="shared" si="1"/>
        <v>319</v>
      </c>
      <c r="F16" s="788">
        <f>'1461'!F16:G16</f>
        <v>1</v>
      </c>
      <c r="G16" s="788"/>
      <c r="H16" s="80">
        <f t="shared" si="2"/>
        <v>319</v>
      </c>
      <c r="I16" s="101">
        <f t="shared" si="3"/>
        <v>1769966.39</v>
      </c>
      <c r="N16" s="747" t="s">
        <v>22</v>
      </c>
      <c r="O16" s="747"/>
      <c r="P16" s="789">
        <f t="shared" si="0"/>
        <v>0</v>
      </c>
      <c r="Q16" s="789"/>
      <c r="R16" s="793">
        <v>1</v>
      </c>
      <c r="S16" s="793"/>
      <c r="T16" s="95">
        <f t="shared" si="4"/>
        <v>0</v>
      </c>
      <c r="U16" s="492">
        <f t="shared" si="5"/>
        <v>0</v>
      </c>
    </row>
    <row r="17" spans="1:21" x14ac:dyDescent="0.25">
      <c r="A17" s="705" t="s">
        <v>23</v>
      </c>
      <c r="B17" s="705"/>
      <c r="C17" s="143">
        <v>43.46</v>
      </c>
      <c r="D17" s="143">
        <v>0</v>
      </c>
      <c r="E17" s="116">
        <f t="shared" si="1"/>
        <v>86.92</v>
      </c>
      <c r="F17" s="788">
        <f>'1461'!F17:G17</f>
        <v>1</v>
      </c>
      <c r="G17" s="788"/>
      <c r="H17" s="80">
        <f t="shared" si="2"/>
        <v>86.92</v>
      </c>
      <c r="I17" s="101">
        <f t="shared" si="3"/>
        <v>482274.23</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7.1999999999999993</v>
      </c>
      <c r="D26" s="143">
        <v>0</v>
      </c>
      <c r="E26" s="116">
        <f t="shared" si="1"/>
        <v>14.399999999999999</v>
      </c>
      <c r="F26" s="788">
        <f>'1461'!F26:G26</f>
        <v>1.1919999999999999</v>
      </c>
      <c r="G26" s="788"/>
      <c r="H26" s="80">
        <f t="shared" si="2"/>
        <v>17.1648</v>
      </c>
      <c r="I26" s="101">
        <f t="shared" si="3"/>
        <v>95238.62</v>
      </c>
      <c r="N26" s="747" t="s">
        <v>85</v>
      </c>
      <c r="O26" s="747"/>
      <c r="P26" s="789">
        <f t="shared" si="0"/>
        <v>0</v>
      </c>
      <c r="Q26" s="789"/>
      <c r="R26" s="793">
        <v>1</v>
      </c>
      <c r="S26" s="793"/>
      <c r="T26" s="95">
        <f t="shared" si="4"/>
        <v>0</v>
      </c>
      <c r="U26" s="492">
        <f t="shared" si="5"/>
        <v>0</v>
      </c>
    </row>
    <row r="27" spans="1:21" x14ac:dyDescent="0.25">
      <c r="A27" s="705" t="s">
        <v>86</v>
      </c>
      <c r="B27" s="705"/>
      <c r="C27" s="143">
        <v>1.4100000000000001</v>
      </c>
      <c r="D27" s="143">
        <v>0</v>
      </c>
      <c r="E27" s="116">
        <f t="shared" si="1"/>
        <v>2.8200000000000003</v>
      </c>
      <c r="F27" s="788">
        <f>'1461'!F27:G27</f>
        <v>1.1919999999999999</v>
      </c>
      <c r="G27" s="788"/>
      <c r="H27" s="80">
        <f t="shared" si="2"/>
        <v>3.3614000000000002</v>
      </c>
      <c r="I27" s="101">
        <f t="shared" si="3"/>
        <v>18650.669999999998</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354.37</v>
      </c>
      <c r="D30" s="94">
        <f>SUM(D14:D29)</f>
        <v>0</v>
      </c>
      <c r="E30" s="94">
        <f>SUM(E14:E29)</f>
        <v>708.74</v>
      </c>
      <c r="F30" s="724"/>
      <c r="G30" s="724"/>
      <c r="H30" s="99">
        <f>SUM(H14:H29)</f>
        <v>745.74699999999996</v>
      </c>
      <c r="I30" s="94">
        <f>SUM(I14:I29)</f>
        <v>4137765.28</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3740192.5500000003</v>
      </c>
      <c r="G51" s="109" t="s">
        <v>6</v>
      </c>
      <c r="H51" s="420">
        <v>5.5899999999999998E-2</v>
      </c>
      <c r="I51" s="101">
        <f>ROUND(F51*H51,2)</f>
        <v>209076.76</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3740192.5500000003</v>
      </c>
      <c r="G52" s="109" t="s">
        <v>6</v>
      </c>
      <c r="H52" s="420">
        <v>1.0699999999999999E-2</v>
      </c>
      <c r="I52" s="101">
        <f>ROUND(F52*H52,2)</f>
        <v>40020.06</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249096.82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20.64</v>
      </c>
      <c r="D57" s="143">
        <v>0</v>
      </c>
      <c r="E57" s="116">
        <f t="shared" ref="E57:E65" si="10">IF(D$66=0,C57*2,C57+D57)</f>
        <v>41.28</v>
      </c>
      <c r="F57" s="462" t="s">
        <v>455</v>
      </c>
      <c r="G57" s="462">
        <v>251</v>
      </c>
      <c r="H57" s="476">
        <f>'1461'!H57</f>
        <v>1047</v>
      </c>
      <c r="I57" s="101">
        <f>ROUND(E57*H57,2)</f>
        <v>43220.160000000003</v>
      </c>
      <c r="N57" s="778" t="s">
        <v>463</v>
      </c>
      <c r="O57" s="778"/>
      <c r="P57" s="780"/>
      <c r="Q57" s="780"/>
      <c r="R57" s="468" t="s">
        <v>455</v>
      </c>
      <c r="S57" s="468">
        <v>251</v>
      </c>
      <c r="T57" s="479">
        <f>H57</f>
        <v>1047</v>
      </c>
      <c r="U57" s="493">
        <f>ROUND(P57*T57,2)</f>
        <v>0</v>
      </c>
      <c r="V57" s="443"/>
    </row>
    <row r="58" spans="1:22" x14ac:dyDescent="0.25">
      <c r="A58" s="721"/>
      <c r="B58" s="721"/>
      <c r="C58" s="143">
        <v>2.36</v>
      </c>
      <c r="D58" s="143">
        <v>0</v>
      </c>
      <c r="E58" s="116">
        <f t="shared" si="10"/>
        <v>4.72</v>
      </c>
      <c r="F58" s="462" t="s">
        <v>455</v>
      </c>
      <c r="G58" s="462">
        <v>252</v>
      </c>
      <c r="H58" s="476">
        <f>'1461'!H58</f>
        <v>3380</v>
      </c>
      <c r="I58" s="101">
        <f t="shared" ref="I58:I65" si="11">ROUND(E58*H58,2)</f>
        <v>15953.6</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35.17</v>
      </c>
      <c r="D60" s="143">
        <v>0</v>
      </c>
      <c r="E60" s="116">
        <f t="shared" si="10"/>
        <v>70.34</v>
      </c>
      <c r="F60" s="463" t="s">
        <v>13</v>
      </c>
      <c r="G60" s="462">
        <v>251</v>
      </c>
      <c r="H60" s="476">
        <f>'1461'!H60</f>
        <v>1173</v>
      </c>
      <c r="I60" s="101">
        <f t="shared" si="11"/>
        <v>82508.820000000007</v>
      </c>
      <c r="N60" s="779"/>
      <c r="O60" s="779"/>
      <c r="P60" s="773"/>
      <c r="Q60" s="773"/>
      <c r="R60" s="40" t="s">
        <v>13</v>
      </c>
      <c r="S60" s="468">
        <v>251</v>
      </c>
      <c r="T60" s="479">
        <f t="shared" si="12"/>
        <v>1173</v>
      </c>
      <c r="U60" s="493">
        <f t="shared" si="13"/>
        <v>0</v>
      </c>
      <c r="V60" s="443"/>
    </row>
    <row r="61" spans="1:22" x14ac:dyDescent="0.25">
      <c r="A61" s="721"/>
      <c r="B61" s="721"/>
      <c r="C61" s="143">
        <v>7.83</v>
      </c>
      <c r="D61" s="143">
        <v>0</v>
      </c>
      <c r="E61" s="116">
        <f t="shared" si="10"/>
        <v>15.66</v>
      </c>
      <c r="F61" s="463" t="s">
        <v>13</v>
      </c>
      <c r="G61" s="462">
        <v>252</v>
      </c>
      <c r="H61" s="476">
        <f>'1461'!H61</f>
        <v>3506</v>
      </c>
      <c r="I61" s="101">
        <f t="shared" si="11"/>
        <v>54903.96</v>
      </c>
      <c r="N61" s="779"/>
      <c r="O61" s="779"/>
      <c r="P61" s="773"/>
      <c r="Q61" s="773"/>
      <c r="R61" s="40" t="s">
        <v>13</v>
      </c>
      <c r="S61" s="468">
        <v>252</v>
      </c>
      <c r="T61" s="479">
        <f t="shared" si="12"/>
        <v>3506</v>
      </c>
      <c r="U61" s="493">
        <f t="shared" si="13"/>
        <v>0</v>
      </c>
      <c r="V61" s="443"/>
    </row>
    <row r="62" spans="1:22" x14ac:dyDescent="0.25">
      <c r="A62" s="721"/>
      <c r="B62" s="721"/>
      <c r="C62" s="143">
        <v>0.46</v>
      </c>
      <c r="D62" s="143">
        <v>0</v>
      </c>
      <c r="E62" s="116">
        <f t="shared" si="10"/>
        <v>0.92</v>
      </c>
      <c r="F62" s="463" t="s">
        <v>13</v>
      </c>
      <c r="G62" s="462">
        <v>253</v>
      </c>
      <c r="H62" s="476">
        <f>'1461'!H62</f>
        <v>7023</v>
      </c>
      <c r="I62" s="101">
        <f t="shared" si="11"/>
        <v>6461.16</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66.459999999999994</v>
      </c>
      <c r="D66" s="97">
        <f>SUM(D57:D65)</f>
        <v>0</v>
      </c>
      <c r="E66" s="97">
        <f>SUM(E57:E65)</f>
        <v>132.91999999999999</v>
      </c>
      <c r="F66" s="708" t="s">
        <v>464</v>
      </c>
      <c r="G66" s="708"/>
      <c r="H66" s="708"/>
      <c r="I66" s="97">
        <f>SUM(I57:I65)</f>
        <v>203047.7</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708.74</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3.3709999999999999E-3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745.74699999999996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3.1749999999999999E-3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708.74</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3.777E-3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708.74</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3.3769999999999998E-3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708.74</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3.7829999999999999E-3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3.3769999999999998E-3</v>
      </c>
      <c r="I85" s="101">
        <f>ROUND(F85*H85,2)</f>
        <v>155894.82999999999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3.3709999999999999E-3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3.7829999999999999E-3</v>
      </c>
      <c r="I90" s="101">
        <f>ROUND(F90*H90,2)</f>
        <v>72035.98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3.777E-3</v>
      </c>
      <c r="I92" s="101">
        <f t="shared" ref="I92:I96" si="14">ROUND(F92*H92,2)</f>
        <v>43213.23</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3.1749999999999999E-3</v>
      </c>
      <c r="I94" s="101">
        <f t="shared" si="14"/>
        <v>812027.89</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3.1749999999999999E-3</v>
      </c>
      <c r="I96" s="101">
        <f t="shared" si="14"/>
        <v>-5034.1499999999996</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3.3709999999999999E-3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336.46559999999999</v>
      </c>
      <c r="D104" s="703"/>
      <c r="E104" s="46">
        <f>H8</f>
        <v>1.0407999999999999</v>
      </c>
      <c r="F104" s="302">
        <f>'1461'!F104</f>
        <v>950.92</v>
      </c>
      <c r="G104" s="39" t="s">
        <v>12</v>
      </c>
      <c r="H104" s="101">
        <f>ROUND(C104*E104*F104,2)</f>
        <v>333005.90000000002</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409.28140000000002</v>
      </c>
      <c r="D105" s="703"/>
      <c r="E105" s="46">
        <f>H8</f>
        <v>1.0407999999999999</v>
      </c>
      <c r="F105" s="302">
        <f>'1461'!F105</f>
        <v>907.92</v>
      </c>
      <c r="G105" s="39" t="s">
        <v>12</v>
      </c>
      <c r="H105" s="101">
        <f>ROUND(C105*E105*F105,2)</f>
        <v>386755.84000000003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745.74700000000007</v>
      </c>
      <c r="D107" s="716"/>
      <c r="E107" s="123"/>
      <c r="F107" s="123"/>
      <c r="G107" s="123"/>
      <c r="H107" s="124" t="s">
        <v>100</v>
      </c>
      <c r="I107" s="101">
        <f>IF(A1=75,0,H106+H105+H104)</f>
        <v>719761.74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v>
      </c>
      <c r="D113" s="143">
        <v>3</v>
      </c>
      <c r="E113" s="116">
        <f>(C113+D113)/2</f>
        <v>2</v>
      </c>
      <c r="F113" s="126" t="s">
        <v>30</v>
      </c>
      <c r="G113" s="303">
        <f>'1461'!G113</f>
        <v>567</v>
      </c>
      <c r="I113" s="101">
        <f>ROUND(G113*E113,2)</f>
        <v>1134</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6139846.5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5890749.6799999997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5890749.6799999997</v>
      </c>
      <c r="I135" s="94">
        <f>ROUND(IF(E30=0,0,IF(E30&gt;250,-(((250/E30)*H135)*IF(G135="H",0.02,0.05)),IF(G135="H",-0.02*H135,-0.05*H135))),2)</f>
        <v>-41557.9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6098288.5999999996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-2299978.8199999998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3798309.78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542615.68000000005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76257.093599999993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CCCC"/>
  </sheetPr>
  <dimension ref="A1:V221"/>
  <sheetViews>
    <sheetView topLeftCell="A27" workbookViewId="0">
      <selection activeCell="C15" sqref="C1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114</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0.5</v>
      </c>
      <c r="D14" s="143">
        <v>0</v>
      </c>
      <c r="E14" s="187">
        <f>IF(D$30=0,C14*2,C14+D14)</f>
        <v>1</v>
      </c>
      <c r="F14" s="797">
        <f>'1461'!F14:G14</f>
        <v>1.1180000000000001</v>
      </c>
      <c r="G14" s="797"/>
      <c r="H14" s="145">
        <f>ROUND(E14*F14,4)</f>
        <v>1.1180000000000001</v>
      </c>
      <c r="I14" s="111">
        <f>ROUND(ROUND(ROUND(H14*$C$8,4)*($H$8),2)*(MAX($H$9,1)),2)</f>
        <v>6203.21</v>
      </c>
      <c r="N14" s="787" t="s">
        <v>20</v>
      </c>
      <c r="O14" s="787"/>
      <c r="P14" s="789">
        <f t="shared" ref="P14:P29" si="0">IF($H$133=1,E14,0)</f>
        <v>1</v>
      </c>
      <c r="Q14" s="789"/>
      <c r="R14" s="798">
        <v>1</v>
      </c>
      <c r="S14" s="798"/>
      <c r="T14" s="95">
        <f>ROUND(P14*R14,4)</f>
        <v>1</v>
      </c>
      <c r="U14" s="492">
        <f>ROUND(ROUND(ROUND(T14*$C$8,4)*($H$8),2)*(MAX($H$9,1)),2)</f>
        <v>5548.48</v>
      </c>
    </row>
    <row r="15" spans="1:21" x14ac:dyDescent="0.25">
      <c r="A15" s="705" t="s">
        <v>21</v>
      </c>
      <c r="B15" s="705"/>
      <c r="C15" s="143">
        <v>10.5</v>
      </c>
      <c r="D15" s="143">
        <v>0</v>
      </c>
      <c r="E15" s="116">
        <f t="shared" ref="E15:E29" si="1">IF(D$30=0,C15*2,C15+D15)</f>
        <v>21</v>
      </c>
      <c r="F15" s="788">
        <f>'1461'!F15:G15</f>
        <v>1.1180000000000001</v>
      </c>
      <c r="G15" s="788"/>
      <c r="H15" s="80">
        <f t="shared" ref="H15:H29" si="2">ROUND(E15*F15,4)</f>
        <v>23.478000000000002</v>
      </c>
      <c r="I15" s="101">
        <f t="shared" ref="I15:I29" si="3">ROUND(ROUND(ROUND(H15*$C$8,4)*($H$8),2)*(MAX($H$9,1)),2)</f>
        <v>130267.31</v>
      </c>
      <c r="J15" s="65" t="str">
        <f>IF(ROUND(E15,2)=ROUND(SUM(E57:E59),2)," ","CHECK PK-3 LINES BELOW")</f>
        <v xml:space="preserve"> </v>
      </c>
      <c r="N15" s="747" t="s">
        <v>21</v>
      </c>
      <c r="O15" s="747"/>
      <c r="P15" s="789">
        <f t="shared" si="0"/>
        <v>21</v>
      </c>
      <c r="Q15" s="789"/>
      <c r="R15" s="793">
        <v>1</v>
      </c>
      <c r="S15" s="793"/>
      <c r="T15" s="95">
        <f t="shared" ref="T15:T29" si="4">ROUND(P15*R15,4)</f>
        <v>21</v>
      </c>
      <c r="U15" s="492">
        <f t="shared" ref="U15:U29" si="5">ROUND(ROUND(ROUND(T15*$C$8,4)*($H$8),2)*(MAX($H$9,1)),2)</f>
        <v>116518.16</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13</v>
      </c>
      <c r="D17" s="143">
        <v>0</v>
      </c>
      <c r="E17" s="116">
        <f t="shared" si="1"/>
        <v>26</v>
      </c>
      <c r="F17" s="788">
        <f>'1461'!F17:G17</f>
        <v>1</v>
      </c>
      <c r="G17" s="788"/>
      <c r="H17" s="80">
        <f t="shared" si="2"/>
        <v>26</v>
      </c>
      <c r="I17" s="101">
        <f t="shared" si="3"/>
        <v>144260.57999999999</v>
      </c>
      <c r="J17" s="65" t="str">
        <f>IF(ROUND(E17,2)=ROUND(SUM(E60:E62),2)," ","CHECK 4-8 LINES BELOW")</f>
        <v xml:space="preserve"> </v>
      </c>
      <c r="N17" s="747" t="s">
        <v>23</v>
      </c>
      <c r="O17" s="747"/>
      <c r="P17" s="789">
        <f t="shared" si="0"/>
        <v>26</v>
      </c>
      <c r="Q17" s="789"/>
      <c r="R17" s="793">
        <v>1</v>
      </c>
      <c r="S17" s="793"/>
      <c r="T17" s="95">
        <f t="shared" si="4"/>
        <v>26</v>
      </c>
      <c r="U17" s="492">
        <f t="shared" si="5"/>
        <v>144260.57999999999</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33.5</v>
      </c>
      <c r="D19" s="143">
        <v>0</v>
      </c>
      <c r="E19" s="116">
        <f t="shared" si="1"/>
        <v>67</v>
      </c>
      <c r="F19" s="788">
        <f>'1461'!F19:G19</f>
        <v>0.97799999999999998</v>
      </c>
      <c r="G19" s="788"/>
      <c r="H19" s="80">
        <f t="shared" si="2"/>
        <v>65.525999999999996</v>
      </c>
      <c r="I19" s="101">
        <f t="shared" si="3"/>
        <v>363569.96</v>
      </c>
      <c r="J19" s="65" t="str">
        <f>IF(ROUND(E19,2)=ROUND(SUM(E63:E65),2)," ","CHECK 4-8 LINES BELOW")</f>
        <v xml:space="preserve"> </v>
      </c>
      <c r="N19" s="747" t="s">
        <v>25</v>
      </c>
      <c r="O19" s="747"/>
      <c r="P19" s="789">
        <f t="shared" si="0"/>
        <v>67</v>
      </c>
      <c r="Q19" s="789"/>
      <c r="R19" s="793">
        <v>1</v>
      </c>
      <c r="S19" s="793"/>
      <c r="T19" s="95">
        <f t="shared" si="4"/>
        <v>67</v>
      </c>
      <c r="U19" s="491">
        <f t="shared" si="5"/>
        <v>371748.43</v>
      </c>
    </row>
    <row r="20" spans="1:21" x14ac:dyDescent="0.25">
      <c r="A20" s="705" t="s">
        <v>79</v>
      </c>
      <c r="B20" s="705"/>
      <c r="C20" s="143">
        <v>41.5</v>
      </c>
      <c r="D20" s="143">
        <v>0</v>
      </c>
      <c r="E20" s="116">
        <f t="shared" si="1"/>
        <v>83</v>
      </c>
      <c r="F20" s="788">
        <f>'1461'!F20:G20</f>
        <v>3.6970000000000001</v>
      </c>
      <c r="G20" s="788"/>
      <c r="H20" s="80">
        <f t="shared" si="2"/>
        <v>306.851</v>
      </c>
      <c r="I20" s="101">
        <f t="shared" si="3"/>
        <v>1702557.86</v>
      </c>
      <c r="N20" s="747" t="s">
        <v>79</v>
      </c>
      <c r="O20" s="747"/>
      <c r="P20" s="789">
        <f t="shared" si="0"/>
        <v>83</v>
      </c>
      <c r="Q20" s="789"/>
      <c r="R20" s="793">
        <v>1</v>
      </c>
      <c r="S20" s="793"/>
      <c r="T20" s="95">
        <f t="shared" si="4"/>
        <v>83</v>
      </c>
      <c r="U20" s="492">
        <f t="shared" si="5"/>
        <v>460524.17</v>
      </c>
    </row>
    <row r="21" spans="1:21" x14ac:dyDescent="0.25">
      <c r="A21" s="705" t="s">
        <v>80</v>
      </c>
      <c r="B21" s="705"/>
      <c r="C21" s="143">
        <v>32.5</v>
      </c>
      <c r="D21" s="143">
        <v>0</v>
      </c>
      <c r="E21" s="116">
        <f t="shared" si="1"/>
        <v>65</v>
      </c>
      <c r="F21" s="788">
        <f>'1461'!F21:G21</f>
        <v>3.6970000000000001</v>
      </c>
      <c r="G21" s="788"/>
      <c r="H21" s="80">
        <f t="shared" si="2"/>
        <v>240.30500000000001</v>
      </c>
      <c r="I21" s="101">
        <f t="shared" si="3"/>
        <v>1333328.44</v>
      </c>
      <c r="N21" s="747" t="s">
        <v>80</v>
      </c>
      <c r="O21" s="747"/>
      <c r="P21" s="789">
        <f t="shared" si="0"/>
        <v>65</v>
      </c>
      <c r="Q21" s="789"/>
      <c r="R21" s="793">
        <v>1</v>
      </c>
      <c r="S21" s="793"/>
      <c r="T21" s="95">
        <f t="shared" si="4"/>
        <v>65</v>
      </c>
      <c r="U21" s="492">
        <f t="shared" si="5"/>
        <v>360651.46</v>
      </c>
    </row>
    <row r="22" spans="1:21" x14ac:dyDescent="0.25">
      <c r="A22" s="705" t="s">
        <v>81</v>
      </c>
      <c r="B22" s="705"/>
      <c r="C22" s="143">
        <v>23.5</v>
      </c>
      <c r="D22" s="143">
        <v>0</v>
      </c>
      <c r="E22" s="116">
        <f t="shared" si="1"/>
        <v>47</v>
      </c>
      <c r="F22" s="788">
        <f>'1461'!F22:G22</f>
        <v>3.6970000000000001</v>
      </c>
      <c r="G22" s="788"/>
      <c r="H22" s="80">
        <f t="shared" si="2"/>
        <v>173.75899999999999</v>
      </c>
      <c r="I22" s="101">
        <f t="shared" si="3"/>
        <v>964099.03</v>
      </c>
      <c r="N22" s="747" t="s">
        <v>81</v>
      </c>
      <c r="O22" s="747"/>
      <c r="P22" s="789">
        <f t="shared" si="0"/>
        <v>47</v>
      </c>
      <c r="Q22" s="789"/>
      <c r="R22" s="793">
        <v>1</v>
      </c>
      <c r="S22" s="793"/>
      <c r="T22" s="95">
        <f t="shared" si="4"/>
        <v>47</v>
      </c>
      <c r="U22" s="492">
        <f t="shared" si="5"/>
        <v>260778.75</v>
      </c>
    </row>
    <row r="23" spans="1:21" x14ac:dyDescent="0.25">
      <c r="A23" s="705" t="s">
        <v>82</v>
      </c>
      <c r="B23" s="705"/>
      <c r="C23" s="143">
        <f>0.5+4+5+4</f>
        <v>13.5</v>
      </c>
      <c r="D23" s="143">
        <v>0</v>
      </c>
      <c r="E23" s="116">
        <f t="shared" si="1"/>
        <v>27</v>
      </c>
      <c r="F23" s="788">
        <f>'1461'!F23:G23</f>
        <v>5.992</v>
      </c>
      <c r="G23" s="788"/>
      <c r="H23" s="80">
        <f t="shared" si="2"/>
        <v>161.78399999999999</v>
      </c>
      <c r="I23" s="101">
        <f t="shared" si="3"/>
        <v>897655.93</v>
      </c>
      <c r="N23" s="747" t="s">
        <v>82</v>
      </c>
      <c r="O23" s="747"/>
      <c r="P23" s="789">
        <f t="shared" si="0"/>
        <v>27</v>
      </c>
      <c r="Q23" s="789"/>
      <c r="R23" s="793">
        <v>1</v>
      </c>
      <c r="S23" s="793"/>
      <c r="T23" s="95">
        <f t="shared" si="4"/>
        <v>27</v>
      </c>
      <c r="U23" s="492">
        <f t="shared" si="5"/>
        <v>149809.07</v>
      </c>
    </row>
    <row r="24" spans="1:21" x14ac:dyDescent="0.25">
      <c r="A24" s="705" t="s">
        <v>83</v>
      </c>
      <c r="B24" s="705"/>
      <c r="C24" s="143">
        <f>0.5+4+3.5+2+2.5</f>
        <v>12.5</v>
      </c>
      <c r="D24" s="143">
        <v>0</v>
      </c>
      <c r="E24" s="116">
        <f t="shared" si="1"/>
        <v>25</v>
      </c>
      <c r="F24" s="788">
        <f>'1461'!F24:G24</f>
        <v>5.992</v>
      </c>
      <c r="G24" s="788"/>
      <c r="H24" s="80">
        <f t="shared" si="2"/>
        <v>149.80000000000001</v>
      </c>
      <c r="I24" s="101">
        <f t="shared" si="3"/>
        <v>831162.9</v>
      </c>
      <c r="N24" s="747" t="s">
        <v>83</v>
      </c>
      <c r="O24" s="747"/>
      <c r="P24" s="789">
        <f t="shared" si="0"/>
        <v>25</v>
      </c>
      <c r="Q24" s="789"/>
      <c r="R24" s="793">
        <v>1</v>
      </c>
      <c r="S24" s="793"/>
      <c r="T24" s="95">
        <f t="shared" si="4"/>
        <v>25</v>
      </c>
      <c r="U24" s="492">
        <f t="shared" si="5"/>
        <v>138712.1</v>
      </c>
    </row>
    <row r="25" spans="1:21" x14ac:dyDescent="0.25">
      <c r="A25" s="705" t="s">
        <v>84</v>
      </c>
      <c r="B25" s="705"/>
      <c r="C25" s="143">
        <f>2+1+2+4.5</f>
        <v>9.5</v>
      </c>
      <c r="D25" s="143">
        <v>0</v>
      </c>
      <c r="E25" s="116">
        <f t="shared" si="1"/>
        <v>19</v>
      </c>
      <c r="F25" s="788">
        <f>'1461'!F25:G25</f>
        <v>5.992</v>
      </c>
      <c r="G25" s="788"/>
      <c r="H25" s="80">
        <f t="shared" si="2"/>
        <v>113.848</v>
      </c>
      <c r="I25" s="101">
        <f t="shared" si="3"/>
        <v>631683.80000000005</v>
      </c>
      <c r="N25" s="747" t="s">
        <v>84</v>
      </c>
      <c r="O25" s="747"/>
      <c r="P25" s="789">
        <f t="shared" si="0"/>
        <v>19</v>
      </c>
      <c r="Q25" s="789"/>
      <c r="R25" s="793">
        <v>1</v>
      </c>
      <c r="S25" s="793"/>
      <c r="T25" s="95">
        <f t="shared" si="4"/>
        <v>19</v>
      </c>
      <c r="U25" s="492">
        <f t="shared" si="5"/>
        <v>105421.2</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190.5</v>
      </c>
      <c r="D30" s="94">
        <f>SUM(D14:D29)</f>
        <v>0</v>
      </c>
      <c r="E30" s="94">
        <f>SUM(E14:E29)</f>
        <v>381</v>
      </c>
      <c r="F30" s="724"/>
      <c r="G30" s="724"/>
      <c r="H30" s="99">
        <f>SUM(H14:H29)</f>
        <v>1262.4690000000001</v>
      </c>
      <c r="I30" s="94">
        <f>SUM(I14:I29)</f>
        <v>7004789.0199999996</v>
      </c>
      <c r="N30" s="791" t="s">
        <v>5</v>
      </c>
      <c r="O30" s="791"/>
      <c r="P30" s="792">
        <f>SUM(P14:P29)</f>
        <v>381</v>
      </c>
      <c r="Q30" s="792"/>
      <c r="R30" s="781"/>
      <c r="S30" s="781"/>
      <c r="T30" s="100">
        <f>SUM(T14:T29)</f>
        <v>381</v>
      </c>
      <c r="U30" s="492">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76" t="s">
        <v>44</v>
      </c>
      <c r="O46" s="776"/>
      <c r="P46" s="776"/>
      <c r="Q46" s="776"/>
      <c r="R46" s="35">
        <f>R44+T30</f>
        <v>381</v>
      </c>
      <c r="S46" s="781" t="s">
        <v>42</v>
      </c>
      <c r="T46" s="781"/>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7171690.2000000002</v>
      </c>
      <c r="G51" s="109" t="s">
        <v>6</v>
      </c>
      <c r="H51" s="420">
        <v>5.5899999999999998E-2</v>
      </c>
      <c r="I51" s="101">
        <f>ROUND(F51*H51,2)</f>
        <v>400897.48</v>
      </c>
      <c r="N51" s="425"/>
      <c r="O51" s="426" t="s">
        <v>527</v>
      </c>
      <c r="P51" s="28"/>
      <c r="Q51" s="44" t="s">
        <v>417</v>
      </c>
      <c r="R51" s="427">
        <f>U30</f>
        <v>2113972.4</v>
      </c>
      <c r="S51" s="428" t="s">
        <v>6</v>
      </c>
      <c r="T51" s="429">
        <v>5.5899999999999998E-2</v>
      </c>
      <c r="U51" s="421">
        <f>ROUND(R51*T51,2)</f>
        <v>118171.06</v>
      </c>
    </row>
    <row r="52" spans="1:22" x14ac:dyDescent="0.25">
      <c r="A52" s="26"/>
      <c r="B52" s="578" t="s">
        <v>532</v>
      </c>
      <c r="C52" s="26"/>
      <c r="D52" s="26"/>
      <c r="E52" s="43" t="s">
        <v>417</v>
      </c>
      <c r="F52" s="419">
        <v>7171690.2000000002</v>
      </c>
      <c r="G52" s="109" t="s">
        <v>6</v>
      </c>
      <c r="H52" s="420">
        <v>1.0699999999999999E-2</v>
      </c>
      <c r="I52" s="101">
        <f>ROUND(F52*H52,2)</f>
        <v>76737.09</v>
      </c>
      <c r="N52" s="28"/>
      <c r="O52" s="579" t="s">
        <v>531</v>
      </c>
      <c r="P52" s="28"/>
      <c r="Q52" s="44" t="s">
        <v>417</v>
      </c>
      <c r="R52" s="427">
        <f>U30</f>
        <v>2113972.4</v>
      </c>
      <c r="S52" s="428" t="s">
        <v>6</v>
      </c>
      <c r="T52" s="429">
        <v>1.0699999999999999E-2</v>
      </c>
      <c r="U52" s="430">
        <f>ROUND(R52*T52,2)</f>
        <v>22619.5</v>
      </c>
    </row>
    <row r="53" spans="1:22" x14ac:dyDescent="0.25">
      <c r="A53" s="26"/>
      <c r="B53" s="81" t="s">
        <v>418</v>
      </c>
      <c r="C53" s="26"/>
      <c r="D53" s="26"/>
      <c r="E53" s="43"/>
      <c r="F53" s="419"/>
      <c r="G53" s="109"/>
      <c r="H53" s="420"/>
      <c r="I53" s="97">
        <f>SUM(I51:I52)</f>
        <v>477634.56999999995</v>
      </c>
      <c r="N53" s="28"/>
      <c r="O53" s="402" t="s">
        <v>418</v>
      </c>
      <c r="P53" s="28"/>
      <c r="Q53" s="44"/>
      <c r="R53" s="427"/>
      <c r="S53" s="428"/>
      <c r="T53" s="429"/>
      <c r="U53" s="421">
        <f>SUM(U51:U52)</f>
        <v>140790.56</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10.5</v>
      </c>
      <c r="D59" s="143">
        <v>0</v>
      </c>
      <c r="E59" s="116">
        <f t="shared" si="10"/>
        <v>21</v>
      </c>
      <c r="F59" s="462" t="s">
        <v>455</v>
      </c>
      <c r="G59" s="462">
        <v>253</v>
      </c>
      <c r="H59" s="476">
        <f>'1461'!H59</f>
        <v>6896</v>
      </c>
      <c r="I59" s="101">
        <f t="shared" si="11"/>
        <v>144816</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13</v>
      </c>
      <c r="D62" s="143">
        <v>0</v>
      </c>
      <c r="E62" s="116">
        <f>IF(D$66=0,C62*2,C62+D62)</f>
        <v>26</v>
      </c>
      <c r="F62" s="463" t="s">
        <v>13</v>
      </c>
      <c r="G62" s="462">
        <v>253</v>
      </c>
      <c r="H62" s="476">
        <f>'1461'!H62</f>
        <v>7023</v>
      </c>
      <c r="I62" s="101">
        <f t="shared" si="11"/>
        <v>182598</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1.86</v>
      </c>
      <c r="D64" s="143">
        <v>0</v>
      </c>
      <c r="E64" s="116">
        <f t="shared" si="10"/>
        <v>3.72</v>
      </c>
      <c r="F64" s="463" t="s">
        <v>14</v>
      </c>
      <c r="G64" s="462">
        <v>252</v>
      </c>
      <c r="H64" s="476">
        <f>'1461'!H64</f>
        <v>3168</v>
      </c>
      <c r="I64" s="101">
        <f t="shared" si="11"/>
        <v>11784.96</v>
      </c>
      <c r="N64" s="779"/>
      <c r="O64" s="779"/>
      <c r="P64" s="773"/>
      <c r="Q64" s="773"/>
      <c r="R64" s="40" t="s">
        <v>14</v>
      </c>
      <c r="S64" s="468">
        <v>252</v>
      </c>
      <c r="T64" s="479">
        <f t="shared" si="12"/>
        <v>3168</v>
      </c>
      <c r="U64" s="493">
        <f t="shared" si="13"/>
        <v>0</v>
      </c>
      <c r="V64" s="443"/>
    </row>
    <row r="65" spans="1:22" ht="16.5" thickBot="1" x14ac:dyDescent="0.3">
      <c r="A65" s="721"/>
      <c r="B65" s="721"/>
      <c r="C65" s="143">
        <v>31.64</v>
      </c>
      <c r="D65" s="143">
        <v>0</v>
      </c>
      <c r="E65" s="116">
        <f t="shared" si="10"/>
        <v>63.28</v>
      </c>
      <c r="F65" s="463" t="s">
        <v>14</v>
      </c>
      <c r="G65" s="462">
        <v>253</v>
      </c>
      <c r="H65" s="476">
        <f>'1461'!H65</f>
        <v>6685</v>
      </c>
      <c r="I65" s="101">
        <f t="shared" si="11"/>
        <v>423026.8</v>
      </c>
      <c r="N65" s="779"/>
      <c r="O65" s="779"/>
      <c r="P65" s="774"/>
      <c r="Q65" s="774"/>
      <c r="R65" s="40" t="s">
        <v>14</v>
      </c>
      <c r="S65" s="468">
        <v>253</v>
      </c>
      <c r="T65" s="479">
        <f t="shared" si="12"/>
        <v>6685</v>
      </c>
      <c r="U65" s="494">
        <f t="shared" si="13"/>
        <v>0</v>
      </c>
      <c r="V65" s="443"/>
    </row>
    <row r="66" spans="1:22" ht="16.5" thickBot="1" x14ac:dyDescent="0.3">
      <c r="A66" s="459"/>
      <c r="C66" s="97">
        <f>SUM(C57:C65)</f>
        <v>57</v>
      </c>
      <c r="D66" s="97">
        <f>SUM(D57:D65)</f>
        <v>0</v>
      </c>
      <c r="E66" s="97">
        <f>SUM(E57:E65)</f>
        <v>114</v>
      </c>
      <c r="F66" s="708" t="s">
        <v>464</v>
      </c>
      <c r="G66" s="708"/>
      <c r="H66" s="708"/>
      <c r="I66" s="97">
        <f>SUM(I57:I65)</f>
        <v>762225.76</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381</v>
      </c>
      <c r="D69" s="718" t="s">
        <v>430</v>
      </c>
      <c r="E69" s="718"/>
      <c r="F69" s="718"/>
      <c r="G69" s="718"/>
      <c r="H69" s="299">
        <f>'1461'!H69</f>
        <v>210228.91</v>
      </c>
      <c r="I69" s="113"/>
      <c r="N69" s="746" t="s">
        <v>423</v>
      </c>
      <c r="O69" s="747"/>
      <c r="P69" s="41">
        <f>P30</f>
        <v>381</v>
      </c>
      <c r="Q69" s="771" t="s">
        <v>425</v>
      </c>
      <c r="R69" s="772"/>
      <c r="S69" s="772"/>
      <c r="T69" s="760">
        <f>H69</f>
        <v>210228.91</v>
      </c>
      <c r="U69" s="760"/>
    </row>
    <row r="70" spans="1:22" x14ac:dyDescent="0.25">
      <c r="B70" s="69"/>
      <c r="G70" s="42" t="s">
        <v>12</v>
      </c>
      <c r="H70" s="114">
        <f>ROUND(C69/H69,6)</f>
        <v>1.812E-3</v>
      </c>
      <c r="I70" s="115"/>
      <c r="N70" s="747"/>
      <c r="O70" s="747"/>
      <c r="P70" s="747"/>
      <c r="Q70" s="747"/>
      <c r="R70" s="747"/>
      <c r="S70" s="747"/>
      <c r="T70" s="765">
        <f>ROUND(P69/T69,6)</f>
        <v>1.812E-3</v>
      </c>
      <c r="U70" s="765"/>
    </row>
    <row r="71" spans="1:22" x14ac:dyDescent="0.25">
      <c r="A71" s="461" t="s">
        <v>467</v>
      </c>
      <c r="N71" s="472" t="s">
        <v>475</v>
      </c>
      <c r="O71" s="51"/>
      <c r="P71" s="51"/>
      <c r="Q71" s="51"/>
      <c r="R71" s="51"/>
      <c r="S71" s="51"/>
      <c r="T71" s="51"/>
      <c r="U71" s="51"/>
    </row>
    <row r="72" spans="1:22" x14ac:dyDescent="0.25">
      <c r="A72" s="704" t="s">
        <v>420</v>
      </c>
      <c r="B72" s="705"/>
      <c r="C72" s="112">
        <f>H30</f>
        <v>1262.4690000000001</v>
      </c>
      <c r="D72" s="718" t="s">
        <v>431</v>
      </c>
      <c r="E72" s="718"/>
      <c r="F72" s="718"/>
      <c r="G72" s="718"/>
      <c r="H72" s="300">
        <f>'1461'!H72</f>
        <v>234891.44</v>
      </c>
      <c r="I72" s="116"/>
      <c r="N72" s="746" t="s">
        <v>424</v>
      </c>
      <c r="O72" s="747"/>
      <c r="P72" s="41">
        <f>T30</f>
        <v>381</v>
      </c>
      <c r="Q72" s="771" t="s">
        <v>426</v>
      </c>
      <c r="R72" s="772"/>
      <c r="S72" s="772"/>
      <c r="T72" s="760">
        <f>H72</f>
        <v>234891.44</v>
      </c>
      <c r="U72" s="760"/>
    </row>
    <row r="73" spans="1:22" x14ac:dyDescent="0.25">
      <c r="G73" s="42" t="s">
        <v>12</v>
      </c>
      <c r="H73" s="114">
        <f>ROUND(C72/H72,6)</f>
        <v>5.3749999999999996E-3</v>
      </c>
      <c r="I73" s="114"/>
      <c r="N73" s="747"/>
      <c r="O73" s="747"/>
      <c r="P73" s="747"/>
      <c r="Q73" s="747"/>
      <c r="R73" s="747"/>
      <c r="S73" s="747"/>
      <c r="T73" s="765">
        <f>ROUND(P72/T72,6)</f>
        <v>1.622E-3</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381</v>
      </c>
      <c r="D75" s="717" t="s">
        <v>432</v>
      </c>
      <c r="E75" s="717"/>
      <c r="F75" s="717"/>
      <c r="G75" s="717"/>
      <c r="H75" s="299">
        <f>'1461'!H75</f>
        <v>187665.41</v>
      </c>
      <c r="I75" s="113"/>
      <c r="N75" s="746" t="s">
        <v>422</v>
      </c>
      <c r="O75" s="747"/>
      <c r="P75" s="41">
        <f>P30</f>
        <v>381</v>
      </c>
      <c r="Q75" s="767" t="s">
        <v>427</v>
      </c>
      <c r="R75" s="768"/>
      <c r="S75" s="768"/>
      <c r="T75" s="760">
        <f>H75</f>
        <v>187665.41</v>
      </c>
      <c r="U75" s="760"/>
    </row>
    <row r="76" spans="1:22" x14ac:dyDescent="0.25">
      <c r="B76" s="69"/>
      <c r="G76" s="42" t="s">
        <v>12</v>
      </c>
      <c r="H76" s="114">
        <f>ROUND(C75/H75,6)</f>
        <v>2.0300000000000001E-3</v>
      </c>
      <c r="I76" s="115"/>
      <c r="N76" s="747"/>
      <c r="O76" s="747"/>
      <c r="P76" s="747"/>
      <c r="Q76" s="747"/>
      <c r="R76" s="747"/>
      <c r="S76" s="747"/>
      <c r="T76" s="765">
        <f>ROUND(P75/T75,6)</f>
        <v>2.0300000000000001E-3</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381</v>
      </c>
      <c r="D78" s="713" t="s">
        <v>433</v>
      </c>
      <c r="E78" s="713"/>
      <c r="F78" s="713"/>
      <c r="G78" s="713"/>
      <c r="H78" s="299">
        <f>'1461'!H78</f>
        <v>209892.26</v>
      </c>
      <c r="I78" s="113"/>
      <c r="N78" s="746" t="s">
        <v>422</v>
      </c>
      <c r="O78" s="747"/>
      <c r="P78" s="41">
        <f>P30</f>
        <v>381</v>
      </c>
      <c r="Q78" s="769" t="s">
        <v>428</v>
      </c>
      <c r="R78" s="770"/>
      <c r="S78" s="770"/>
      <c r="T78" s="760">
        <f>H78</f>
        <v>209892.26</v>
      </c>
      <c r="U78" s="760"/>
    </row>
    <row r="79" spans="1:22" x14ac:dyDescent="0.25">
      <c r="B79" s="69"/>
      <c r="G79" s="42" t="s">
        <v>12</v>
      </c>
      <c r="H79" s="114">
        <f>ROUND(C78/H78,6)</f>
        <v>1.815E-3</v>
      </c>
      <c r="I79" s="115"/>
      <c r="N79" s="747"/>
      <c r="O79" s="747"/>
      <c r="P79" s="747"/>
      <c r="Q79" s="747"/>
      <c r="R79" s="747"/>
      <c r="S79" s="747"/>
      <c r="T79" s="765">
        <f>ROUND(P78/T78,6)</f>
        <v>1.815E-3</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381</v>
      </c>
      <c r="D81" s="717" t="s">
        <v>434</v>
      </c>
      <c r="E81" s="717"/>
      <c r="F81" s="717"/>
      <c r="G81" s="717"/>
      <c r="H81" s="299">
        <f>'1461'!H81</f>
        <v>187328.76</v>
      </c>
      <c r="I81" s="113"/>
      <c r="N81" s="746" t="s">
        <v>435</v>
      </c>
      <c r="O81" s="747"/>
      <c r="P81" s="41">
        <f>P30</f>
        <v>381</v>
      </c>
      <c r="Q81" s="767" t="s">
        <v>436</v>
      </c>
      <c r="R81" s="768"/>
      <c r="S81" s="768"/>
      <c r="T81" s="760">
        <f>H81</f>
        <v>187328.76</v>
      </c>
      <c r="U81" s="760"/>
    </row>
    <row r="82" spans="1:21" x14ac:dyDescent="0.25">
      <c r="B82" s="69"/>
      <c r="G82" s="42" t="s">
        <v>12</v>
      </c>
      <c r="H82" s="114">
        <f>ROUND(C81/H81,6)</f>
        <v>2.0339999999999998E-3</v>
      </c>
      <c r="I82" s="115"/>
      <c r="N82" s="747"/>
      <c r="O82" s="747"/>
      <c r="P82" s="747"/>
      <c r="Q82" s="747"/>
      <c r="R82" s="747"/>
      <c r="S82" s="747"/>
      <c r="T82" s="765">
        <f>ROUND(P81/T81,6)</f>
        <v>2.0339999999999998E-3</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1.815E-3</v>
      </c>
      <c r="I85" s="101">
        <f>ROUND(F85*H85,2)</f>
        <v>83787.12</v>
      </c>
      <c r="N85" s="472" t="s">
        <v>471</v>
      </c>
      <c r="O85" s="51"/>
      <c r="P85" s="51"/>
      <c r="Q85" s="44"/>
      <c r="R85" s="438">
        <f>F85</f>
        <v>46163704</v>
      </c>
      <c r="S85" s="38" t="s">
        <v>6</v>
      </c>
      <c r="T85" s="440">
        <f>T79</f>
        <v>1.815E-3</v>
      </c>
      <c r="U85" s="492">
        <f>ROUND(R85*T85,2)</f>
        <v>83787.12</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1.812E-3</v>
      </c>
      <c r="I88" s="101">
        <f>ROUND(F88*H88,2)</f>
        <v>0</v>
      </c>
      <c r="N88" s="766" t="s">
        <v>99</v>
      </c>
      <c r="O88" s="747"/>
      <c r="P88" s="747"/>
      <c r="Q88" s="44"/>
      <c r="R88" s="438">
        <f>F88</f>
        <v>0</v>
      </c>
      <c r="S88" s="38" t="s">
        <v>6</v>
      </c>
      <c r="T88" s="440">
        <f>T70</f>
        <v>1.812E-3</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2.0339999999999998E-3</v>
      </c>
      <c r="I90" s="101">
        <f>ROUND(F90*H90,2)</f>
        <v>38731.480000000003</v>
      </c>
      <c r="N90" s="472" t="s">
        <v>472</v>
      </c>
      <c r="O90" s="51"/>
      <c r="P90" s="51"/>
      <c r="Q90" s="44"/>
      <c r="R90" s="438">
        <f>F90</f>
        <v>19042026</v>
      </c>
      <c r="S90" s="38" t="s">
        <v>6</v>
      </c>
      <c r="T90" s="440">
        <f>T82</f>
        <v>2.0339999999999998E-3</v>
      </c>
      <c r="U90" s="492">
        <f>ROUND(R90*T90,2)</f>
        <v>38731.480000000003</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2.0300000000000001E-3</v>
      </c>
      <c r="I92" s="101">
        <f t="shared" ref="I92:I96" si="14">ROUND(F92*H92,2)</f>
        <v>23225.54</v>
      </c>
      <c r="N92" s="472" t="s">
        <v>473</v>
      </c>
      <c r="O92" s="51"/>
      <c r="P92" s="51"/>
      <c r="Q92" s="44"/>
      <c r="R92" s="438">
        <f t="shared" ref="R92:R96" si="15">F92</f>
        <v>11441151</v>
      </c>
      <c r="S92" s="38" t="s">
        <v>6</v>
      </c>
      <c r="T92" s="440">
        <f>T76</f>
        <v>2.0300000000000001E-3</v>
      </c>
      <c r="U92" s="492">
        <f>ROUND(R92*T92,2)</f>
        <v>23225.54</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5.3749999999999996E-3</v>
      </c>
      <c r="I94" s="101">
        <f t="shared" si="14"/>
        <v>1374692.89</v>
      </c>
      <c r="N94" s="747" t="s">
        <v>438</v>
      </c>
      <c r="O94" s="747"/>
      <c r="P94" s="747"/>
      <c r="Q94" s="44"/>
      <c r="R94" s="438">
        <f t="shared" si="15"/>
        <v>255756816</v>
      </c>
      <c r="S94" s="38" t="s">
        <v>6</v>
      </c>
      <c r="T94" s="440">
        <f>T73</f>
        <v>1.622E-3</v>
      </c>
      <c r="U94" s="492">
        <f>ROUND(R94*T94,2)</f>
        <v>414837.56</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5.3749999999999996E-3</v>
      </c>
      <c r="I96" s="101">
        <f t="shared" si="14"/>
        <v>-8522.3799999999992</v>
      </c>
      <c r="N96" s="746" t="s">
        <v>439</v>
      </c>
      <c r="O96" s="747"/>
      <c r="P96" s="747"/>
      <c r="Q96" s="44"/>
      <c r="R96" s="438">
        <f t="shared" si="15"/>
        <v>-1585559</v>
      </c>
      <c r="S96" s="38" t="s">
        <v>6</v>
      </c>
      <c r="T96" s="440">
        <f>T73</f>
        <v>1.622E-3</v>
      </c>
      <c r="U96" s="492">
        <f>ROUND(R96*T96,2)</f>
        <v>-2571.7800000000002</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1.812E-3</v>
      </c>
      <c r="I98" s="101">
        <f t="shared" ref="I98" si="16">ROUND(F98*H98,2)</f>
        <v>0</v>
      </c>
      <c r="N98" s="551" t="s">
        <v>513</v>
      </c>
      <c r="O98" s="551"/>
      <c r="P98" s="551"/>
      <c r="Q98" s="44"/>
      <c r="R98" s="554">
        <f>F98</f>
        <v>0</v>
      </c>
      <c r="S98" s="552" t="s">
        <v>6</v>
      </c>
      <c r="T98" s="440">
        <f>T70</f>
        <v>1.812E-3</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493.23099999999999</v>
      </c>
      <c r="D104" s="703"/>
      <c r="E104" s="46">
        <f>H8</f>
        <v>1.0407999999999999</v>
      </c>
      <c r="F104" s="302">
        <f>'1461'!F104</f>
        <v>950.92</v>
      </c>
      <c r="G104" s="39" t="s">
        <v>12</v>
      </c>
      <c r="H104" s="101">
        <f>ROUND(C104*E104*F104,2)</f>
        <v>488159.37</v>
      </c>
      <c r="I104" s="104"/>
      <c r="N104" s="28" t="s">
        <v>17</v>
      </c>
      <c r="O104" s="47">
        <f>T14+T15+T20+T23+T26</f>
        <v>132</v>
      </c>
      <c r="P104" s="761">
        <f>T8</f>
        <v>1.0407999999999999</v>
      </c>
      <c r="Q104" s="761"/>
      <c r="R104" s="48">
        <f>F104</f>
        <v>950.92</v>
      </c>
      <c r="S104" s="40" t="s">
        <v>12</v>
      </c>
      <c r="T104" s="498">
        <f>ROUND(O104*P104*R104,2)</f>
        <v>130642.71</v>
      </c>
      <c r="U104" s="102"/>
    </row>
    <row r="105" spans="1:21" x14ac:dyDescent="0.25">
      <c r="A105" s="49"/>
      <c r="B105" s="49" t="s">
        <v>104</v>
      </c>
      <c r="C105" s="703">
        <f>H16+H17+H21+H24+H27</f>
        <v>416.10500000000002</v>
      </c>
      <c r="D105" s="703"/>
      <c r="E105" s="46">
        <f>H8</f>
        <v>1.0407999999999999</v>
      </c>
      <c r="F105" s="302">
        <f>'1461'!F105</f>
        <v>907.92</v>
      </c>
      <c r="G105" s="39" t="s">
        <v>12</v>
      </c>
      <c r="H105" s="101">
        <f>ROUND(C105*E105*F105,2)</f>
        <v>393203.89</v>
      </c>
      <c r="N105" s="50" t="s">
        <v>13</v>
      </c>
      <c r="O105" s="47">
        <f>T16+T17+T21+T24+T27</f>
        <v>116</v>
      </c>
      <c r="P105" s="761">
        <f>T8</f>
        <v>1.0407999999999999</v>
      </c>
      <c r="Q105" s="761"/>
      <c r="R105" s="48">
        <f>F105</f>
        <v>907.92</v>
      </c>
      <c r="S105" s="40" t="s">
        <v>12</v>
      </c>
      <c r="T105" s="498">
        <f>ROUND(O105*P105*R105,2)</f>
        <v>109615.72</v>
      </c>
      <c r="U105" s="51"/>
    </row>
    <row r="106" spans="1:21" ht="16.5" thickBot="1" x14ac:dyDescent="0.3">
      <c r="A106" s="52"/>
      <c r="B106" s="52" t="s">
        <v>103</v>
      </c>
      <c r="C106" s="703">
        <f>H18+H19+H22+H25+H28+H29</f>
        <v>353.13299999999998</v>
      </c>
      <c r="D106" s="703"/>
      <c r="E106" s="46">
        <f>H8</f>
        <v>1.0407999999999999</v>
      </c>
      <c r="F106" s="302">
        <f>'1461'!F106</f>
        <v>910.12</v>
      </c>
      <c r="G106" s="39" t="s">
        <v>12</v>
      </c>
      <c r="H106" s="94">
        <f>ROUND(C106*E106*F106,2)</f>
        <v>334506.26</v>
      </c>
      <c r="N106" s="53" t="s">
        <v>14</v>
      </c>
      <c r="O106" s="54">
        <f>T18+T19+T22+T25+T28+T29</f>
        <v>133</v>
      </c>
      <c r="P106" s="761">
        <f>T8</f>
        <v>1.0407999999999999</v>
      </c>
      <c r="Q106" s="761"/>
      <c r="R106" s="48">
        <f>F106</f>
        <v>910.12</v>
      </c>
      <c r="S106" s="40" t="s">
        <v>12</v>
      </c>
      <c r="T106" s="498">
        <f>ROUND(O106*P106*R106,2)</f>
        <v>125984.64</v>
      </c>
      <c r="U106" s="51"/>
    </row>
    <row r="107" spans="1:21" ht="16.5" thickBot="1" x14ac:dyDescent="0.3">
      <c r="A107" s="55"/>
      <c r="B107" s="122" t="s">
        <v>102</v>
      </c>
      <c r="C107" s="716">
        <f>SUM(C104:C106)</f>
        <v>1262.4690000000001</v>
      </c>
      <c r="D107" s="716"/>
      <c r="E107" s="123"/>
      <c r="F107" s="123"/>
      <c r="G107" s="123"/>
      <c r="H107" s="124" t="s">
        <v>100</v>
      </c>
      <c r="I107" s="101">
        <f>IF(A1=75,0,H106+H105+H104)</f>
        <v>1215869.52</v>
      </c>
      <c r="N107" s="56" t="s">
        <v>89</v>
      </c>
      <c r="O107" s="57">
        <f>SUM(O104:O106)</f>
        <v>381</v>
      </c>
      <c r="P107" s="756" t="s">
        <v>16</v>
      </c>
      <c r="Q107" s="757"/>
      <c r="R107" s="757"/>
      <c r="S107" s="757"/>
      <c r="T107" s="757"/>
      <c r="U107" s="492">
        <f>IF(N1=75,0,T106+T105+T104)</f>
        <v>366243.07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10494798.949999999</v>
      </c>
      <c r="N128" s="472"/>
      <c r="O128" s="471"/>
      <c r="P128" s="471"/>
      <c r="Q128" s="305"/>
      <c r="R128" s="305"/>
      <c r="S128" s="305"/>
      <c r="T128" s="305"/>
      <c r="U128" s="499">
        <f>SUM(U30,U85,U88,U90,U92,U94,U96,U107,U113,U114,U124,U126)</f>
        <v>3038225.39</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10017164.379999999</v>
      </c>
      <c r="N130" s="747" t="s">
        <v>450</v>
      </c>
      <c r="O130" s="747"/>
      <c r="P130" s="747"/>
      <c r="Q130" s="747"/>
      <c r="R130" s="747"/>
      <c r="S130" s="747"/>
      <c r="T130" s="747"/>
      <c r="U130" s="490">
        <f>U128-U53</f>
        <v>2897434.83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2897434.83</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2897434.83</v>
      </c>
      <c r="I135" s="94">
        <f>ROUND(IF(E30=0,0,IF(E30&gt;250,-(((250/E30)*H135)*IF(G135="H",0.02,0.05)),IF(G135="H",-0.02*H135,-0.05*H135))),2)</f>
        <v>-95060.2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10399738.75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-4347640.5199999996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6052098.2300000004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864585.46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49811.541500000007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CCCC"/>
  </sheetPr>
  <dimension ref="A1:V221"/>
  <sheetViews>
    <sheetView topLeftCell="A19" workbookViewId="0">
      <selection activeCell="C23" sqref="C23:C2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346</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4.5</v>
      </c>
      <c r="D19" s="143">
        <v>0</v>
      </c>
      <c r="E19" s="116">
        <f t="shared" si="1"/>
        <v>9</v>
      </c>
      <c r="F19" s="788">
        <f>'1461'!F19:G19</f>
        <v>0.97799999999999998</v>
      </c>
      <c r="G19" s="788"/>
      <c r="H19" s="80">
        <f t="shared" si="2"/>
        <v>8.8019999999999996</v>
      </c>
      <c r="I19" s="101">
        <f t="shared" si="3"/>
        <v>48837.760000000002</v>
      </c>
      <c r="J19" s="65" t="str">
        <f>IF(ROUND(E19,2)=ROUND(SUM(E63:E65),2)," ","CHECK 4-8 LINES BELOW")</f>
        <v xml:space="preserve"> </v>
      </c>
      <c r="N19" s="747" t="s">
        <v>25</v>
      </c>
      <c r="O19" s="747"/>
      <c r="P19" s="789">
        <f t="shared" si="0"/>
        <v>9</v>
      </c>
      <c r="Q19" s="789"/>
      <c r="R19" s="793">
        <v>1</v>
      </c>
      <c r="S19" s="793"/>
      <c r="T19" s="95">
        <f t="shared" si="4"/>
        <v>9</v>
      </c>
      <c r="U19" s="491">
        <f t="shared" si="5"/>
        <v>49936.36</v>
      </c>
    </row>
    <row r="20" spans="1:21" x14ac:dyDescent="0.25">
      <c r="A20" s="705" t="s">
        <v>79</v>
      </c>
      <c r="B20" s="705"/>
      <c r="C20" s="143">
        <v>3</v>
      </c>
      <c r="D20" s="143">
        <v>0</v>
      </c>
      <c r="E20" s="116">
        <f t="shared" si="1"/>
        <v>6</v>
      </c>
      <c r="F20" s="788">
        <f>'1461'!F20:G20</f>
        <v>3.6970000000000001</v>
      </c>
      <c r="G20" s="788"/>
      <c r="H20" s="80">
        <f t="shared" si="2"/>
        <v>22.181999999999999</v>
      </c>
      <c r="I20" s="101">
        <f t="shared" si="3"/>
        <v>123076.47</v>
      </c>
      <c r="N20" s="747" t="s">
        <v>79</v>
      </c>
      <c r="O20" s="747"/>
      <c r="P20" s="789">
        <f t="shared" si="0"/>
        <v>6</v>
      </c>
      <c r="Q20" s="789"/>
      <c r="R20" s="793">
        <v>1</v>
      </c>
      <c r="S20" s="793"/>
      <c r="T20" s="95">
        <f t="shared" si="4"/>
        <v>6</v>
      </c>
      <c r="U20" s="492">
        <f t="shared" si="5"/>
        <v>33290.9</v>
      </c>
    </row>
    <row r="21" spans="1:21" x14ac:dyDescent="0.25">
      <c r="A21" s="705" t="s">
        <v>80</v>
      </c>
      <c r="B21" s="705"/>
      <c r="C21" s="143">
        <v>8.5</v>
      </c>
      <c r="D21" s="143">
        <v>0</v>
      </c>
      <c r="E21" s="116">
        <f t="shared" si="1"/>
        <v>17</v>
      </c>
      <c r="F21" s="788">
        <f>'1461'!F21:G21</f>
        <v>3.6970000000000001</v>
      </c>
      <c r="G21" s="788"/>
      <c r="H21" s="80">
        <f t="shared" si="2"/>
        <v>62.848999999999997</v>
      </c>
      <c r="I21" s="101">
        <f t="shared" si="3"/>
        <v>348716.67</v>
      </c>
      <c r="N21" s="747" t="s">
        <v>80</v>
      </c>
      <c r="O21" s="747"/>
      <c r="P21" s="789">
        <f t="shared" si="0"/>
        <v>17</v>
      </c>
      <c r="Q21" s="789"/>
      <c r="R21" s="793">
        <v>1</v>
      </c>
      <c r="S21" s="793"/>
      <c r="T21" s="95">
        <f t="shared" si="4"/>
        <v>17</v>
      </c>
      <c r="U21" s="492">
        <f t="shared" si="5"/>
        <v>94324.23</v>
      </c>
    </row>
    <row r="22" spans="1:21" x14ac:dyDescent="0.25">
      <c r="A22" s="705" t="s">
        <v>81</v>
      </c>
      <c r="B22" s="705"/>
      <c r="C22" s="143">
        <v>22</v>
      </c>
      <c r="D22" s="143">
        <v>0</v>
      </c>
      <c r="E22" s="116">
        <f t="shared" si="1"/>
        <v>44</v>
      </c>
      <c r="F22" s="788">
        <f>'1461'!F22:G22</f>
        <v>3.6970000000000001</v>
      </c>
      <c r="G22" s="788"/>
      <c r="H22" s="80">
        <f t="shared" si="2"/>
        <v>162.66800000000001</v>
      </c>
      <c r="I22" s="101">
        <f t="shared" si="3"/>
        <v>902560.79</v>
      </c>
      <c r="N22" s="747" t="s">
        <v>81</v>
      </c>
      <c r="O22" s="747"/>
      <c r="P22" s="789">
        <f t="shared" si="0"/>
        <v>44</v>
      </c>
      <c r="Q22" s="789"/>
      <c r="R22" s="793">
        <v>1</v>
      </c>
      <c r="S22" s="793"/>
      <c r="T22" s="95">
        <f t="shared" si="4"/>
        <v>44</v>
      </c>
      <c r="U22" s="492">
        <f t="shared" si="5"/>
        <v>244133.3</v>
      </c>
    </row>
    <row r="23" spans="1:21" x14ac:dyDescent="0.25">
      <c r="A23" s="705" t="s">
        <v>82</v>
      </c>
      <c r="B23" s="705"/>
      <c r="C23" s="143">
        <v>6</v>
      </c>
      <c r="D23" s="143">
        <v>0</v>
      </c>
      <c r="E23" s="116">
        <f t="shared" si="1"/>
        <v>12</v>
      </c>
      <c r="F23" s="788">
        <f>'1461'!F23:G23</f>
        <v>5.992</v>
      </c>
      <c r="G23" s="788"/>
      <c r="H23" s="80">
        <f t="shared" si="2"/>
        <v>71.903999999999996</v>
      </c>
      <c r="I23" s="101">
        <f t="shared" si="3"/>
        <v>398958.19</v>
      </c>
      <c r="N23" s="747" t="s">
        <v>82</v>
      </c>
      <c r="O23" s="747"/>
      <c r="P23" s="789">
        <f t="shared" si="0"/>
        <v>12</v>
      </c>
      <c r="Q23" s="789"/>
      <c r="R23" s="793">
        <v>1</v>
      </c>
      <c r="S23" s="793"/>
      <c r="T23" s="95">
        <f t="shared" si="4"/>
        <v>12</v>
      </c>
      <c r="U23" s="492">
        <f t="shared" si="5"/>
        <v>66581.81</v>
      </c>
    </row>
    <row r="24" spans="1:21" x14ac:dyDescent="0.25">
      <c r="A24" s="705" t="s">
        <v>83</v>
      </c>
      <c r="B24" s="705"/>
      <c r="C24" s="143">
        <v>11</v>
      </c>
      <c r="D24" s="143">
        <v>0</v>
      </c>
      <c r="E24" s="116">
        <f t="shared" si="1"/>
        <v>22</v>
      </c>
      <c r="F24" s="788">
        <f>'1461'!F24:G24</f>
        <v>5.992</v>
      </c>
      <c r="G24" s="788"/>
      <c r="H24" s="80">
        <f t="shared" si="2"/>
        <v>131.82400000000001</v>
      </c>
      <c r="I24" s="101">
        <f t="shared" si="3"/>
        <v>731423.35</v>
      </c>
      <c r="N24" s="747" t="s">
        <v>83</v>
      </c>
      <c r="O24" s="747"/>
      <c r="P24" s="789">
        <f t="shared" si="0"/>
        <v>22</v>
      </c>
      <c r="Q24" s="789"/>
      <c r="R24" s="793">
        <v>1</v>
      </c>
      <c r="S24" s="793"/>
      <c r="T24" s="95">
        <f t="shared" si="4"/>
        <v>22</v>
      </c>
      <c r="U24" s="492">
        <f t="shared" si="5"/>
        <v>122066.65</v>
      </c>
    </row>
    <row r="25" spans="1:21" x14ac:dyDescent="0.25">
      <c r="A25" s="705" t="s">
        <v>84</v>
      </c>
      <c r="B25" s="705"/>
      <c r="C25" s="143">
        <v>25.5</v>
      </c>
      <c r="D25" s="143">
        <v>0</v>
      </c>
      <c r="E25" s="116">
        <f t="shared" si="1"/>
        <v>51</v>
      </c>
      <c r="F25" s="788">
        <f>'1461'!F25:G25</f>
        <v>5.992</v>
      </c>
      <c r="G25" s="788"/>
      <c r="H25" s="80">
        <f t="shared" si="2"/>
        <v>305.59199999999998</v>
      </c>
      <c r="I25" s="101">
        <f t="shared" si="3"/>
        <v>1695572.32</v>
      </c>
      <c r="N25" s="747" t="s">
        <v>84</v>
      </c>
      <c r="O25" s="747"/>
      <c r="P25" s="789">
        <f t="shared" si="0"/>
        <v>51</v>
      </c>
      <c r="Q25" s="789"/>
      <c r="R25" s="793">
        <v>1</v>
      </c>
      <c r="S25" s="793"/>
      <c r="T25" s="95">
        <f t="shared" si="4"/>
        <v>51</v>
      </c>
      <c r="U25" s="492">
        <f t="shared" si="5"/>
        <v>282972.68</v>
      </c>
    </row>
    <row r="26" spans="1:21" x14ac:dyDescent="0.25">
      <c r="A26" s="705" t="s">
        <v>85</v>
      </c>
      <c r="B26" s="705"/>
      <c r="C26" s="143"/>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80.5</v>
      </c>
      <c r="D30" s="94">
        <f>SUM(D14:D29)</f>
        <v>0</v>
      </c>
      <c r="E30" s="94">
        <f>SUM(E14:E29)</f>
        <v>161</v>
      </c>
      <c r="F30" s="724"/>
      <c r="G30" s="724"/>
      <c r="H30" s="99">
        <f>SUM(H14:H29)</f>
        <v>765.82099999999991</v>
      </c>
      <c r="I30" s="94">
        <f>SUM(I14:I29)</f>
        <v>4249145.55</v>
      </c>
      <c r="N30" s="791" t="s">
        <v>5</v>
      </c>
      <c r="O30" s="791"/>
      <c r="P30" s="792">
        <f>SUM(P14:P29)</f>
        <v>161</v>
      </c>
      <c r="Q30" s="792"/>
      <c r="R30" s="781"/>
      <c r="S30" s="781"/>
      <c r="T30" s="100">
        <f>SUM(T14:T29)</f>
        <v>161</v>
      </c>
      <c r="U30" s="492">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76" t="s">
        <v>44</v>
      </c>
      <c r="O46" s="776"/>
      <c r="P46" s="776"/>
      <c r="Q46" s="776"/>
      <c r="R46" s="35">
        <f>R44+T30</f>
        <v>161</v>
      </c>
      <c r="S46" s="781" t="s">
        <v>42</v>
      </c>
      <c r="T46" s="781"/>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3649443.7699999996</v>
      </c>
      <c r="G51" s="109" t="s">
        <v>6</v>
      </c>
      <c r="H51" s="420">
        <v>5.5899999999999998E-2</v>
      </c>
      <c r="I51" s="101">
        <f>ROUND(F51*H51,2)</f>
        <v>204003.91</v>
      </c>
      <c r="N51" s="425"/>
      <c r="O51" s="426" t="s">
        <v>527</v>
      </c>
      <c r="P51" s="28"/>
      <c r="Q51" s="44" t="s">
        <v>417</v>
      </c>
      <c r="R51" s="427">
        <f>U30</f>
        <v>893305.92999999993</v>
      </c>
      <c r="S51" s="428" t="s">
        <v>6</v>
      </c>
      <c r="T51" s="429">
        <v>5.5899999999999998E-2</v>
      </c>
      <c r="U51" s="421">
        <f>ROUND(R51*T51,2)</f>
        <v>49935.8</v>
      </c>
    </row>
    <row r="52" spans="1:22" x14ac:dyDescent="0.25">
      <c r="A52" s="26"/>
      <c r="B52" s="578" t="s">
        <v>532</v>
      </c>
      <c r="C52" s="26"/>
      <c r="D52" s="26"/>
      <c r="E52" s="43" t="s">
        <v>417</v>
      </c>
      <c r="F52" s="419">
        <v>3649443.7699999996</v>
      </c>
      <c r="G52" s="109" t="s">
        <v>6</v>
      </c>
      <c r="H52" s="420">
        <v>1.0699999999999999E-2</v>
      </c>
      <c r="I52" s="101">
        <f>ROUND(F52*H52,2)</f>
        <v>39049.050000000003</v>
      </c>
      <c r="N52" s="28"/>
      <c r="O52" s="579" t="s">
        <v>531</v>
      </c>
      <c r="P52" s="28"/>
      <c r="Q52" s="44" t="s">
        <v>417</v>
      </c>
      <c r="R52" s="427">
        <f>U30</f>
        <v>893305.92999999993</v>
      </c>
      <c r="S52" s="428" t="s">
        <v>6</v>
      </c>
      <c r="T52" s="429">
        <v>1.0699999999999999E-2</v>
      </c>
      <c r="U52" s="430">
        <f>ROUND(R52*T52,2)</f>
        <v>9558.3700000000008</v>
      </c>
    </row>
    <row r="53" spans="1:22" x14ac:dyDescent="0.25">
      <c r="A53" s="26"/>
      <c r="B53" s="81" t="s">
        <v>418</v>
      </c>
      <c r="C53" s="26"/>
      <c r="D53" s="26"/>
      <c r="E53" s="43"/>
      <c r="F53" s="419"/>
      <c r="G53" s="109"/>
      <c r="H53" s="420"/>
      <c r="I53" s="97">
        <f>SUM(I51:I52)</f>
        <v>243052.96000000002</v>
      </c>
      <c r="N53" s="28"/>
      <c r="O53" s="402" t="s">
        <v>418</v>
      </c>
      <c r="P53" s="28"/>
      <c r="Q53" s="44"/>
      <c r="R53" s="427"/>
      <c r="S53" s="428"/>
      <c r="T53" s="429"/>
      <c r="U53" s="421">
        <f>SUM(U51:U52)</f>
        <v>59494.170000000006</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4.5</v>
      </c>
      <c r="D65" s="143">
        <v>0</v>
      </c>
      <c r="E65" s="116">
        <f t="shared" si="10"/>
        <v>9</v>
      </c>
      <c r="F65" s="463" t="s">
        <v>14</v>
      </c>
      <c r="G65" s="462">
        <v>253</v>
      </c>
      <c r="H65" s="476">
        <f>'1461'!H65</f>
        <v>6685</v>
      </c>
      <c r="I65" s="101">
        <f t="shared" si="11"/>
        <v>60165</v>
      </c>
      <c r="N65" s="779"/>
      <c r="O65" s="779"/>
      <c r="P65" s="774"/>
      <c r="Q65" s="774"/>
      <c r="R65" s="40" t="s">
        <v>14</v>
      </c>
      <c r="S65" s="468">
        <v>253</v>
      </c>
      <c r="T65" s="479">
        <f t="shared" si="12"/>
        <v>6685</v>
      </c>
      <c r="U65" s="494">
        <f t="shared" si="13"/>
        <v>0</v>
      </c>
      <c r="V65" s="443"/>
    </row>
    <row r="66" spans="1:22" ht="16.5" thickBot="1" x14ac:dyDescent="0.3">
      <c r="A66" s="459"/>
      <c r="C66" s="97">
        <f>SUM(C57:C65)</f>
        <v>4.5</v>
      </c>
      <c r="D66" s="97">
        <f>SUM(D57:D65)</f>
        <v>0</v>
      </c>
      <c r="E66" s="97">
        <f>SUM(E57:E65)</f>
        <v>9</v>
      </c>
      <c r="F66" s="708" t="s">
        <v>464</v>
      </c>
      <c r="G66" s="708"/>
      <c r="H66" s="708"/>
      <c r="I66" s="97">
        <f>SUM(I57:I65)</f>
        <v>60165</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161</v>
      </c>
      <c r="D69" s="718" t="s">
        <v>430</v>
      </c>
      <c r="E69" s="718"/>
      <c r="F69" s="718"/>
      <c r="G69" s="718"/>
      <c r="H69" s="299">
        <f>'1461'!H69</f>
        <v>210228.91</v>
      </c>
      <c r="I69" s="113"/>
      <c r="N69" s="746" t="s">
        <v>423</v>
      </c>
      <c r="O69" s="747"/>
      <c r="P69" s="41">
        <f>P30</f>
        <v>161</v>
      </c>
      <c r="Q69" s="771" t="s">
        <v>425</v>
      </c>
      <c r="R69" s="772"/>
      <c r="S69" s="772"/>
      <c r="T69" s="760">
        <f>H69</f>
        <v>210228.91</v>
      </c>
      <c r="U69" s="760"/>
    </row>
    <row r="70" spans="1:22" x14ac:dyDescent="0.25">
      <c r="B70" s="69"/>
      <c r="G70" s="42" t="s">
        <v>12</v>
      </c>
      <c r="H70" s="114">
        <f>ROUND(C69/H69,6)</f>
        <v>7.6599999999999997E-4</v>
      </c>
      <c r="I70" s="115"/>
      <c r="N70" s="747"/>
      <c r="O70" s="747"/>
      <c r="P70" s="747"/>
      <c r="Q70" s="747"/>
      <c r="R70" s="747"/>
      <c r="S70" s="747"/>
      <c r="T70" s="765">
        <f>ROUND(P69/T69,6)</f>
        <v>7.6599999999999997E-4</v>
      </c>
      <c r="U70" s="765"/>
    </row>
    <row r="71" spans="1:22" x14ac:dyDescent="0.25">
      <c r="A71" s="461" t="s">
        <v>467</v>
      </c>
      <c r="N71" s="472" t="s">
        <v>475</v>
      </c>
      <c r="O71" s="51"/>
      <c r="P71" s="51"/>
      <c r="Q71" s="51"/>
      <c r="R71" s="51"/>
      <c r="S71" s="51"/>
      <c r="T71" s="51"/>
      <c r="U71" s="51"/>
    </row>
    <row r="72" spans="1:22" x14ac:dyDescent="0.25">
      <c r="A72" s="704" t="s">
        <v>420</v>
      </c>
      <c r="B72" s="705"/>
      <c r="C72" s="112">
        <f>H30</f>
        <v>765.82099999999991</v>
      </c>
      <c r="D72" s="718" t="s">
        <v>431</v>
      </c>
      <c r="E72" s="718"/>
      <c r="F72" s="718"/>
      <c r="G72" s="718"/>
      <c r="H72" s="300">
        <f>'1461'!H72</f>
        <v>234891.44</v>
      </c>
      <c r="I72" s="116"/>
      <c r="N72" s="746" t="s">
        <v>424</v>
      </c>
      <c r="O72" s="747"/>
      <c r="P72" s="41">
        <f>T30</f>
        <v>161</v>
      </c>
      <c r="Q72" s="771" t="s">
        <v>426</v>
      </c>
      <c r="R72" s="772"/>
      <c r="S72" s="772"/>
      <c r="T72" s="760">
        <f>H72</f>
        <v>234891.44</v>
      </c>
      <c r="U72" s="760"/>
    </row>
    <row r="73" spans="1:22" x14ac:dyDescent="0.25">
      <c r="G73" s="42" t="s">
        <v>12</v>
      </c>
      <c r="H73" s="114">
        <f>ROUND(C72/H72,6)</f>
        <v>3.2599999999999999E-3</v>
      </c>
      <c r="I73" s="114"/>
      <c r="N73" s="747"/>
      <c r="O73" s="747"/>
      <c r="P73" s="747"/>
      <c r="Q73" s="747"/>
      <c r="R73" s="747"/>
      <c r="S73" s="747"/>
      <c r="T73" s="765">
        <f>ROUND(P72/T72,6)</f>
        <v>6.8499999999999995E-4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161</v>
      </c>
      <c r="D75" s="717" t="s">
        <v>432</v>
      </c>
      <c r="E75" s="717"/>
      <c r="F75" s="717"/>
      <c r="G75" s="717"/>
      <c r="H75" s="299">
        <f>'1461'!H75</f>
        <v>187665.41</v>
      </c>
      <c r="I75" s="113"/>
      <c r="N75" s="746" t="s">
        <v>422</v>
      </c>
      <c r="O75" s="747"/>
      <c r="P75" s="41">
        <f>P30</f>
        <v>161</v>
      </c>
      <c r="Q75" s="767" t="s">
        <v>427</v>
      </c>
      <c r="R75" s="768"/>
      <c r="S75" s="768"/>
      <c r="T75" s="760">
        <f>H75</f>
        <v>187665.41</v>
      </c>
      <c r="U75" s="760"/>
    </row>
    <row r="76" spans="1:22" x14ac:dyDescent="0.25">
      <c r="B76" s="69"/>
      <c r="G76" s="42" t="s">
        <v>12</v>
      </c>
      <c r="H76" s="114">
        <f>ROUND(C75/H75,6)</f>
        <v>8.5800000000000004E-4</v>
      </c>
      <c r="I76" s="115"/>
      <c r="N76" s="747"/>
      <c r="O76" s="747"/>
      <c r="P76" s="747"/>
      <c r="Q76" s="747"/>
      <c r="R76" s="747"/>
      <c r="S76" s="747"/>
      <c r="T76" s="765">
        <f>ROUND(P75/T75,6)</f>
        <v>8.5800000000000004E-4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161</v>
      </c>
      <c r="D78" s="713" t="s">
        <v>433</v>
      </c>
      <c r="E78" s="713"/>
      <c r="F78" s="713"/>
      <c r="G78" s="713"/>
      <c r="H78" s="299">
        <f>'1461'!H78</f>
        <v>209892.26</v>
      </c>
      <c r="I78" s="113"/>
      <c r="N78" s="746" t="s">
        <v>422</v>
      </c>
      <c r="O78" s="747"/>
      <c r="P78" s="41">
        <f>P30</f>
        <v>161</v>
      </c>
      <c r="Q78" s="769" t="s">
        <v>428</v>
      </c>
      <c r="R78" s="770"/>
      <c r="S78" s="770"/>
      <c r="T78" s="760">
        <f>H78</f>
        <v>209892.26</v>
      </c>
      <c r="U78" s="760"/>
    </row>
    <row r="79" spans="1:22" x14ac:dyDescent="0.25">
      <c r="B79" s="69"/>
      <c r="G79" s="42" t="s">
        <v>12</v>
      </c>
      <c r="H79" s="114">
        <f>ROUND(C78/H78,6)</f>
        <v>7.67E-4</v>
      </c>
      <c r="I79" s="115"/>
      <c r="N79" s="747"/>
      <c r="O79" s="747"/>
      <c r="P79" s="747"/>
      <c r="Q79" s="747"/>
      <c r="R79" s="747"/>
      <c r="S79" s="747"/>
      <c r="T79" s="765">
        <f>ROUND(P78/T78,6)</f>
        <v>7.67E-4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161</v>
      </c>
      <c r="D81" s="717" t="s">
        <v>434</v>
      </c>
      <c r="E81" s="717"/>
      <c r="F81" s="717"/>
      <c r="G81" s="717"/>
      <c r="H81" s="299">
        <f>'1461'!H81</f>
        <v>187328.76</v>
      </c>
      <c r="I81" s="113"/>
      <c r="N81" s="746" t="s">
        <v>435</v>
      </c>
      <c r="O81" s="747"/>
      <c r="P81" s="41">
        <f>P30</f>
        <v>161</v>
      </c>
      <c r="Q81" s="767" t="s">
        <v>436</v>
      </c>
      <c r="R81" s="768"/>
      <c r="S81" s="768"/>
      <c r="T81" s="760">
        <f>H81</f>
        <v>187328.76</v>
      </c>
      <c r="U81" s="760"/>
    </row>
    <row r="82" spans="1:21" x14ac:dyDescent="0.25">
      <c r="B82" s="69"/>
      <c r="G82" s="42" t="s">
        <v>12</v>
      </c>
      <c r="H82" s="114">
        <f>ROUND(C81/H81,6)</f>
        <v>8.5899999999999995E-4</v>
      </c>
      <c r="I82" s="115"/>
      <c r="N82" s="747"/>
      <c r="O82" s="747"/>
      <c r="P82" s="747"/>
      <c r="Q82" s="747"/>
      <c r="R82" s="747"/>
      <c r="S82" s="747"/>
      <c r="T82" s="765">
        <f>ROUND(P81/T81,6)</f>
        <v>8.5899999999999995E-4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7.67E-4</v>
      </c>
      <c r="I85" s="101">
        <f>ROUND(F85*H85,2)</f>
        <v>35407.56</v>
      </c>
      <c r="N85" s="472" t="s">
        <v>471</v>
      </c>
      <c r="O85" s="51"/>
      <c r="P85" s="51"/>
      <c r="Q85" s="44"/>
      <c r="R85" s="438">
        <f>F85</f>
        <v>46163704</v>
      </c>
      <c r="S85" s="38" t="s">
        <v>6</v>
      </c>
      <c r="T85" s="440">
        <f>T79</f>
        <v>7.67E-4</v>
      </c>
      <c r="U85" s="492">
        <f>ROUND(R85*T85,2)</f>
        <v>35407.56</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7.6599999999999997E-4</v>
      </c>
      <c r="I88" s="101">
        <f>ROUND(F88*H88,2)</f>
        <v>0</v>
      </c>
      <c r="N88" s="766" t="s">
        <v>99</v>
      </c>
      <c r="O88" s="747"/>
      <c r="P88" s="747"/>
      <c r="Q88" s="44"/>
      <c r="R88" s="438">
        <f>F88</f>
        <v>0</v>
      </c>
      <c r="S88" s="38" t="s">
        <v>6</v>
      </c>
      <c r="T88" s="440">
        <f>T70</f>
        <v>7.6599999999999997E-4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8.5899999999999995E-4</v>
      </c>
      <c r="I90" s="101">
        <f>ROUND(F90*H90,2)</f>
        <v>16357.1</v>
      </c>
      <c r="N90" s="472" t="s">
        <v>472</v>
      </c>
      <c r="O90" s="51"/>
      <c r="P90" s="51"/>
      <c r="Q90" s="44"/>
      <c r="R90" s="438">
        <f>F90</f>
        <v>19042026</v>
      </c>
      <c r="S90" s="38" t="s">
        <v>6</v>
      </c>
      <c r="T90" s="440">
        <f>T82</f>
        <v>8.5899999999999995E-4</v>
      </c>
      <c r="U90" s="492">
        <f>ROUND(R90*T90,2)</f>
        <v>16357.1</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8.5800000000000004E-4</v>
      </c>
      <c r="I92" s="101">
        <f t="shared" ref="I92:I96" si="14">ROUND(F92*H92,2)</f>
        <v>9816.51</v>
      </c>
      <c r="N92" s="472" t="s">
        <v>473</v>
      </c>
      <c r="O92" s="51"/>
      <c r="P92" s="51"/>
      <c r="Q92" s="44"/>
      <c r="R92" s="438">
        <f t="shared" ref="R92:R96" si="15">F92</f>
        <v>11441151</v>
      </c>
      <c r="S92" s="38" t="s">
        <v>6</v>
      </c>
      <c r="T92" s="440">
        <f>T76</f>
        <v>8.5800000000000004E-4</v>
      </c>
      <c r="U92" s="492">
        <f>ROUND(R92*T92,2)</f>
        <v>9816.51</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3.2599999999999999E-3</v>
      </c>
      <c r="I94" s="101">
        <f t="shared" si="14"/>
        <v>833767.22</v>
      </c>
      <c r="N94" s="747" t="s">
        <v>438</v>
      </c>
      <c r="O94" s="747"/>
      <c r="P94" s="747"/>
      <c r="Q94" s="44"/>
      <c r="R94" s="438">
        <f t="shared" si="15"/>
        <v>255756816</v>
      </c>
      <c r="S94" s="38" t="s">
        <v>6</v>
      </c>
      <c r="T94" s="440">
        <f>T73</f>
        <v>6.8499999999999995E-4</v>
      </c>
      <c r="U94" s="492">
        <f>ROUND(R94*T94,2)</f>
        <v>175193.42</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3.2599999999999999E-3</v>
      </c>
      <c r="I96" s="101">
        <f t="shared" si="14"/>
        <v>-5168.92</v>
      </c>
      <c r="N96" s="746" t="s">
        <v>439</v>
      </c>
      <c r="O96" s="747"/>
      <c r="P96" s="747"/>
      <c r="Q96" s="44"/>
      <c r="R96" s="438">
        <f t="shared" si="15"/>
        <v>-1585559</v>
      </c>
      <c r="S96" s="38" t="s">
        <v>6</v>
      </c>
      <c r="T96" s="440">
        <f>T73</f>
        <v>6.8499999999999995E-4</v>
      </c>
      <c r="U96" s="492">
        <f>ROUND(R96*T96,2)</f>
        <v>-1086.1099999999999</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7.6599999999999997E-4</v>
      </c>
      <c r="I98" s="101">
        <f t="shared" ref="I98" si="16">ROUND(F98*H98,2)</f>
        <v>0</v>
      </c>
      <c r="N98" s="551" t="s">
        <v>513</v>
      </c>
      <c r="O98" s="551"/>
      <c r="P98" s="551"/>
      <c r="Q98" s="44"/>
      <c r="R98" s="554">
        <f>F98</f>
        <v>0</v>
      </c>
      <c r="S98" s="552" t="s">
        <v>6</v>
      </c>
      <c r="T98" s="440">
        <f>T70</f>
        <v>7.6599999999999997E-4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94.085999999999999</v>
      </c>
      <c r="D104" s="703"/>
      <c r="E104" s="46">
        <f>H8</f>
        <v>1.0407999999999999</v>
      </c>
      <c r="F104" s="302">
        <f>'1461'!F104</f>
        <v>950.92</v>
      </c>
      <c r="G104" s="39" t="s">
        <v>12</v>
      </c>
      <c r="H104" s="101">
        <f>ROUND(C104*E104*F104,2)</f>
        <v>93118.56</v>
      </c>
      <c r="I104" s="104"/>
      <c r="N104" s="28" t="s">
        <v>17</v>
      </c>
      <c r="O104" s="47">
        <f>T14+T15+T20+T23+T26</f>
        <v>18</v>
      </c>
      <c r="P104" s="761">
        <f>T8</f>
        <v>1.0407999999999999</v>
      </c>
      <c r="Q104" s="761"/>
      <c r="R104" s="48">
        <f>F104</f>
        <v>950.92</v>
      </c>
      <c r="S104" s="40" t="s">
        <v>12</v>
      </c>
      <c r="T104" s="498">
        <f>ROUND(O104*P104*R104,2)</f>
        <v>17814.919999999998</v>
      </c>
      <c r="U104" s="102"/>
    </row>
    <row r="105" spans="1:21" x14ac:dyDescent="0.25">
      <c r="A105" s="49"/>
      <c r="B105" s="49" t="s">
        <v>104</v>
      </c>
      <c r="C105" s="703">
        <f>H16+H17+H21+H24+H27</f>
        <v>194.673</v>
      </c>
      <c r="D105" s="703"/>
      <c r="E105" s="46">
        <f>H8</f>
        <v>1.0407999999999999</v>
      </c>
      <c r="F105" s="302">
        <f>'1461'!F105</f>
        <v>907.92</v>
      </c>
      <c r="G105" s="39" t="s">
        <v>12</v>
      </c>
      <c r="H105" s="101">
        <f>ROUND(C105*E105*F105,2)</f>
        <v>183958.81</v>
      </c>
      <c r="N105" s="50" t="s">
        <v>13</v>
      </c>
      <c r="O105" s="47">
        <f>T16+T17+T21+T24+T27</f>
        <v>39</v>
      </c>
      <c r="P105" s="761">
        <f>T8</f>
        <v>1.0407999999999999</v>
      </c>
      <c r="Q105" s="761"/>
      <c r="R105" s="48">
        <f>F105</f>
        <v>907.92</v>
      </c>
      <c r="S105" s="40" t="s">
        <v>12</v>
      </c>
      <c r="T105" s="498">
        <f>ROUND(O105*P105*R105,2)</f>
        <v>36853.56</v>
      </c>
      <c r="U105" s="51"/>
    </row>
    <row r="106" spans="1:21" ht="16.5" thickBot="1" x14ac:dyDescent="0.3">
      <c r="A106" s="52"/>
      <c r="B106" s="52" t="s">
        <v>103</v>
      </c>
      <c r="C106" s="703">
        <f>H18+H19+H22+H25+H28+H29</f>
        <v>477.06200000000001</v>
      </c>
      <c r="D106" s="703"/>
      <c r="E106" s="46">
        <f>H8</f>
        <v>1.0407999999999999</v>
      </c>
      <c r="F106" s="302">
        <f>'1461'!F106</f>
        <v>910.12</v>
      </c>
      <c r="G106" s="39" t="s">
        <v>12</v>
      </c>
      <c r="H106" s="94">
        <f>ROUND(C106*E106*F106,2)</f>
        <v>451898.36</v>
      </c>
      <c r="N106" s="53" t="s">
        <v>14</v>
      </c>
      <c r="O106" s="54">
        <f>T18+T19+T22+T25+T28+T29</f>
        <v>104</v>
      </c>
      <c r="P106" s="761">
        <f>T8</f>
        <v>1.0407999999999999</v>
      </c>
      <c r="Q106" s="761"/>
      <c r="R106" s="48">
        <f>F106</f>
        <v>910.12</v>
      </c>
      <c r="S106" s="40" t="s">
        <v>12</v>
      </c>
      <c r="T106" s="498">
        <f>ROUND(O106*P106*R106,2)</f>
        <v>98514.3</v>
      </c>
      <c r="U106" s="51"/>
    </row>
    <row r="107" spans="1:21" ht="16.5" thickBot="1" x14ac:dyDescent="0.3">
      <c r="A107" s="55"/>
      <c r="B107" s="122" t="s">
        <v>102</v>
      </c>
      <c r="C107" s="716">
        <f>SUM(C104:C106)</f>
        <v>765.82100000000003</v>
      </c>
      <c r="D107" s="716"/>
      <c r="E107" s="123"/>
      <c r="F107" s="123"/>
      <c r="G107" s="123"/>
      <c r="H107" s="124" t="s">
        <v>100</v>
      </c>
      <c r="I107" s="101">
        <f>IF(A1=75,0,H106+H105+H104)</f>
        <v>728975.73</v>
      </c>
      <c r="N107" s="56" t="s">
        <v>89</v>
      </c>
      <c r="O107" s="57">
        <f>SUM(O104:O106)</f>
        <v>161</v>
      </c>
      <c r="P107" s="756" t="s">
        <v>16</v>
      </c>
      <c r="Q107" s="757"/>
      <c r="R107" s="757"/>
      <c r="S107" s="757"/>
      <c r="T107" s="757"/>
      <c r="U107" s="492">
        <f>IF(N1=75,0,T106+T105+T104)</f>
        <v>153182.77999999997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5928465.7499999981</v>
      </c>
      <c r="N128" s="472"/>
      <c r="O128" s="471"/>
      <c r="P128" s="471"/>
      <c r="Q128" s="305"/>
      <c r="R128" s="305"/>
      <c r="S128" s="305"/>
      <c r="T128" s="305"/>
      <c r="U128" s="499">
        <f>SUM(U30,U85,U88,U90,U92,U94,U96,U107,U113,U114,U124,U126)</f>
        <v>1282177.19</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5685412.7899999982</v>
      </c>
      <c r="N130" s="747" t="s">
        <v>450</v>
      </c>
      <c r="O130" s="747"/>
      <c r="P130" s="747"/>
      <c r="Q130" s="747"/>
      <c r="R130" s="747"/>
      <c r="S130" s="747"/>
      <c r="T130" s="747"/>
      <c r="U130" s="132">
        <f>U128-U53</f>
        <v>1222683.02</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1222683.02</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1222683.02</v>
      </c>
      <c r="I135" s="94">
        <f>ROUND(IF(E30=0,0,IF(E30&gt;250,-(((250/E30)*H135)*IF(G135="H",0.02,0.05)),IF(G135="H",-0.02*H135,-0.05*H135))),2)</f>
        <v>-61134.15</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5867331.5999999978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-2097353.75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3769977.8499999978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538568.26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CCCC"/>
  </sheetPr>
  <dimension ref="A1:V221"/>
  <sheetViews>
    <sheetView topLeftCell="A22" workbookViewId="0">
      <selection activeCell="C63" sqref="C63: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382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37.5</v>
      </c>
      <c r="D19" s="143">
        <v>0</v>
      </c>
      <c r="E19" s="116">
        <f t="shared" si="1"/>
        <v>75</v>
      </c>
      <c r="F19" s="788">
        <f>'1461'!F19:G19</f>
        <v>0.97799999999999998</v>
      </c>
      <c r="G19" s="788"/>
      <c r="H19" s="80">
        <f t="shared" si="2"/>
        <v>73.349999999999994</v>
      </c>
      <c r="I19" s="101">
        <f t="shared" si="3"/>
        <v>406981.3</v>
      </c>
      <c r="J19" s="65" t="str">
        <f>IF(ROUND(E19,2)=ROUND(SUM(E63:E65),2)," ","CHECK 4-8 LINES BELOW")</f>
        <v xml:space="preserve"> </v>
      </c>
      <c r="N19" s="747" t="s">
        <v>25</v>
      </c>
      <c r="O19" s="747"/>
      <c r="P19" s="789">
        <f t="shared" si="0"/>
        <v>75</v>
      </c>
      <c r="Q19" s="789"/>
      <c r="R19" s="793">
        <v>1</v>
      </c>
      <c r="S19" s="793"/>
      <c r="T19" s="95">
        <f t="shared" si="4"/>
        <v>75</v>
      </c>
      <c r="U19" s="491">
        <f t="shared" si="5"/>
        <v>416136.3</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1</v>
      </c>
      <c r="D22" s="143">
        <v>0</v>
      </c>
      <c r="E22" s="116">
        <f t="shared" si="1"/>
        <v>2</v>
      </c>
      <c r="F22" s="788">
        <f>'1461'!F22:G22</f>
        <v>3.6970000000000001</v>
      </c>
      <c r="G22" s="788"/>
      <c r="H22" s="80">
        <f t="shared" si="2"/>
        <v>7.3940000000000001</v>
      </c>
      <c r="I22" s="101">
        <f t="shared" si="3"/>
        <v>41025.49</v>
      </c>
      <c r="N22" s="747" t="s">
        <v>81</v>
      </c>
      <c r="O22" s="747"/>
      <c r="P22" s="789">
        <f t="shared" si="0"/>
        <v>2</v>
      </c>
      <c r="Q22" s="789"/>
      <c r="R22" s="793">
        <v>1</v>
      </c>
      <c r="S22" s="793"/>
      <c r="T22" s="95">
        <f t="shared" si="4"/>
        <v>2</v>
      </c>
      <c r="U22" s="492">
        <f t="shared" si="5"/>
        <v>11096.97</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38.5</v>
      </c>
      <c r="D30" s="94">
        <f>SUM(D14:D29)</f>
        <v>0</v>
      </c>
      <c r="E30" s="94">
        <f>SUM(E14:E29)</f>
        <v>77</v>
      </c>
      <c r="F30" s="724"/>
      <c r="G30" s="724"/>
      <c r="H30" s="99">
        <f>SUM(H14:H29)</f>
        <v>80.744</v>
      </c>
      <c r="I30" s="94">
        <f>SUM(I14:I29)</f>
        <v>448006.79</v>
      </c>
      <c r="N30" s="791" t="s">
        <v>5</v>
      </c>
      <c r="O30" s="791"/>
      <c r="P30" s="792">
        <f>SUM(P14:P29)</f>
        <v>77</v>
      </c>
      <c r="Q30" s="792"/>
      <c r="R30" s="781"/>
      <c r="S30" s="781"/>
      <c r="T30" s="100">
        <f>SUM(T14:T29)</f>
        <v>77</v>
      </c>
      <c r="U30" s="492">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76" t="s">
        <v>44</v>
      </c>
      <c r="O46" s="776"/>
      <c r="P46" s="776"/>
      <c r="Q46" s="776"/>
      <c r="R46" s="35">
        <f>R44+T30</f>
        <v>77</v>
      </c>
      <c r="S46" s="781" t="s">
        <v>42</v>
      </c>
      <c r="T46" s="781"/>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393252.69</v>
      </c>
      <c r="G51" s="109" t="s">
        <v>6</v>
      </c>
      <c r="H51" s="420">
        <v>5.5899999999999998E-2</v>
      </c>
      <c r="I51" s="101">
        <f>ROUND(F51*H51,2)</f>
        <v>21982.83</v>
      </c>
      <c r="N51" s="425"/>
      <c r="O51" s="426" t="s">
        <v>527</v>
      </c>
      <c r="P51" s="28"/>
      <c r="Q51" s="44" t="s">
        <v>417</v>
      </c>
      <c r="R51" s="427">
        <f>U30</f>
        <v>427233.26999999996</v>
      </c>
      <c r="S51" s="428" t="s">
        <v>6</v>
      </c>
      <c r="T51" s="429">
        <v>5.5899999999999998E-2</v>
      </c>
      <c r="U51" s="421">
        <f>ROUND(R51*T51,2)</f>
        <v>23882.34</v>
      </c>
    </row>
    <row r="52" spans="1:22" x14ac:dyDescent="0.25">
      <c r="A52" s="26"/>
      <c r="B52" s="578" t="s">
        <v>532</v>
      </c>
      <c r="C52" s="26"/>
      <c r="D52" s="26"/>
      <c r="E52" s="43" t="s">
        <v>417</v>
      </c>
      <c r="F52" s="419">
        <v>393252.69</v>
      </c>
      <c r="G52" s="109" t="s">
        <v>6</v>
      </c>
      <c r="H52" s="420">
        <v>1.0699999999999999E-2</v>
      </c>
      <c r="I52" s="101">
        <f>ROUND(F52*H52,2)</f>
        <v>4207.8</v>
      </c>
      <c r="N52" s="28"/>
      <c r="O52" s="579" t="s">
        <v>531</v>
      </c>
      <c r="P52" s="28"/>
      <c r="Q52" s="44" t="s">
        <v>417</v>
      </c>
      <c r="R52" s="427">
        <f>U30</f>
        <v>427233.26999999996</v>
      </c>
      <c r="S52" s="428" t="s">
        <v>6</v>
      </c>
      <c r="T52" s="429">
        <v>1.0699999999999999E-2</v>
      </c>
      <c r="U52" s="430">
        <f>ROUND(R52*T52,2)</f>
        <v>4571.3999999999996</v>
      </c>
    </row>
    <row r="53" spans="1:22" x14ac:dyDescent="0.25">
      <c r="A53" s="26"/>
      <c r="B53" s="81" t="s">
        <v>418</v>
      </c>
      <c r="C53" s="26"/>
      <c r="D53" s="26"/>
      <c r="E53" s="43"/>
      <c r="F53" s="419"/>
      <c r="G53" s="109"/>
      <c r="H53" s="420"/>
      <c r="I53" s="97">
        <f>SUM(I51:I52)</f>
        <v>26190.63</v>
      </c>
      <c r="N53" s="28"/>
      <c r="O53" s="402" t="s">
        <v>418</v>
      </c>
      <c r="P53" s="28"/>
      <c r="Q53" s="44"/>
      <c r="R53" s="427"/>
      <c r="S53" s="428"/>
      <c r="T53" s="429"/>
      <c r="U53" s="421">
        <f>SUM(U51:U52)</f>
        <v>28453.739999999998</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0.52</v>
      </c>
      <c r="D63" s="143">
        <v>0</v>
      </c>
      <c r="E63" s="116">
        <f t="shared" si="10"/>
        <v>1.04</v>
      </c>
      <c r="F63" s="463" t="s">
        <v>14</v>
      </c>
      <c r="G63" s="462">
        <v>251</v>
      </c>
      <c r="H63" s="476">
        <f>'1461'!H63</f>
        <v>835</v>
      </c>
      <c r="I63" s="101">
        <f t="shared" si="11"/>
        <v>868.4</v>
      </c>
      <c r="N63" s="779"/>
      <c r="O63" s="779"/>
      <c r="P63" s="773"/>
      <c r="Q63" s="773"/>
      <c r="R63" s="40" t="s">
        <v>14</v>
      </c>
      <c r="S63" s="468">
        <v>251</v>
      </c>
      <c r="T63" s="479">
        <f t="shared" si="12"/>
        <v>835</v>
      </c>
      <c r="U63" s="493">
        <f t="shared" si="13"/>
        <v>0</v>
      </c>
      <c r="V63" s="443"/>
    </row>
    <row r="64" spans="1:22" x14ac:dyDescent="0.25">
      <c r="A64" s="721"/>
      <c r="B64" s="721"/>
      <c r="C64" s="143">
        <v>3.84</v>
      </c>
      <c r="D64" s="143">
        <v>0</v>
      </c>
      <c r="E64" s="116">
        <f t="shared" si="10"/>
        <v>7.68</v>
      </c>
      <c r="F64" s="463" t="s">
        <v>14</v>
      </c>
      <c r="G64" s="462">
        <v>252</v>
      </c>
      <c r="H64" s="476">
        <f>'1461'!H64</f>
        <v>3168</v>
      </c>
      <c r="I64" s="101">
        <f t="shared" si="11"/>
        <v>24330.240000000002</v>
      </c>
      <c r="N64" s="779"/>
      <c r="O64" s="779"/>
      <c r="P64" s="773"/>
      <c r="Q64" s="773"/>
      <c r="R64" s="40" t="s">
        <v>14</v>
      </c>
      <c r="S64" s="468">
        <v>252</v>
      </c>
      <c r="T64" s="479">
        <f t="shared" si="12"/>
        <v>3168</v>
      </c>
      <c r="U64" s="493">
        <f t="shared" si="13"/>
        <v>0</v>
      </c>
      <c r="V64" s="443"/>
    </row>
    <row r="65" spans="1:22" ht="16.5" thickBot="1" x14ac:dyDescent="0.3">
      <c r="A65" s="721"/>
      <c r="B65" s="721"/>
      <c r="C65" s="143">
        <v>33.14</v>
      </c>
      <c r="D65" s="143">
        <v>0</v>
      </c>
      <c r="E65" s="116">
        <f t="shared" si="10"/>
        <v>66.28</v>
      </c>
      <c r="F65" s="463" t="s">
        <v>14</v>
      </c>
      <c r="G65" s="462">
        <v>253</v>
      </c>
      <c r="H65" s="476">
        <f>'1461'!H65</f>
        <v>6685</v>
      </c>
      <c r="I65" s="101">
        <f t="shared" si="11"/>
        <v>443081.8</v>
      </c>
      <c r="N65" s="779"/>
      <c r="O65" s="779"/>
      <c r="P65" s="774"/>
      <c r="Q65" s="774"/>
      <c r="R65" s="40" t="s">
        <v>14</v>
      </c>
      <c r="S65" s="468">
        <v>253</v>
      </c>
      <c r="T65" s="479">
        <f t="shared" si="12"/>
        <v>6685</v>
      </c>
      <c r="U65" s="494">
        <f t="shared" si="13"/>
        <v>0</v>
      </c>
      <c r="V65" s="443"/>
    </row>
    <row r="66" spans="1:22" ht="16.5" thickBot="1" x14ac:dyDescent="0.3">
      <c r="A66" s="459"/>
      <c r="C66" s="97">
        <f>SUM(C57:C65)</f>
        <v>37.5</v>
      </c>
      <c r="D66" s="97">
        <f>SUM(D57:D65)</f>
        <v>0</v>
      </c>
      <c r="E66" s="97">
        <f>SUM(E57:E65)</f>
        <v>75</v>
      </c>
      <c r="F66" s="708" t="s">
        <v>464</v>
      </c>
      <c r="G66" s="708"/>
      <c r="H66" s="708"/>
      <c r="I66" s="97">
        <f>SUM(I57:I65)</f>
        <v>468280.44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77</v>
      </c>
      <c r="D69" s="718" t="s">
        <v>430</v>
      </c>
      <c r="E69" s="718"/>
      <c r="F69" s="718"/>
      <c r="G69" s="718"/>
      <c r="H69" s="299">
        <f>'1461'!H69</f>
        <v>210228.91</v>
      </c>
      <c r="I69" s="113"/>
      <c r="N69" s="746" t="s">
        <v>423</v>
      </c>
      <c r="O69" s="747"/>
      <c r="P69" s="41">
        <f>P30</f>
        <v>77</v>
      </c>
      <c r="Q69" s="771" t="s">
        <v>425</v>
      </c>
      <c r="R69" s="772"/>
      <c r="S69" s="772"/>
      <c r="T69" s="760">
        <f>H69</f>
        <v>210228.91</v>
      </c>
      <c r="U69" s="760"/>
    </row>
    <row r="70" spans="1:22" x14ac:dyDescent="0.25">
      <c r="B70" s="69"/>
      <c r="G70" s="42" t="s">
        <v>12</v>
      </c>
      <c r="H70" s="114">
        <f>ROUND(C69/H69,6)</f>
        <v>3.6600000000000001E-4</v>
      </c>
      <c r="I70" s="115"/>
      <c r="N70" s="747"/>
      <c r="O70" s="747"/>
      <c r="P70" s="747"/>
      <c r="Q70" s="747"/>
      <c r="R70" s="747"/>
      <c r="S70" s="747"/>
      <c r="T70" s="765">
        <f>ROUND(P69/T69,6)</f>
        <v>3.6600000000000001E-4</v>
      </c>
      <c r="U70" s="765"/>
    </row>
    <row r="71" spans="1:22" x14ac:dyDescent="0.25">
      <c r="A71" s="461" t="s">
        <v>467</v>
      </c>
      <c r="N71" s="472" t="s">
        <v>475</v>
      </c>
      <c r="O71" s="51"/>
      <c r="P71" s="51"/>
      <c r="Q71" s="51"/>
      <c r="R71" s="51"/>
      <c r="S71" s="51"/>
      <c r="T71" s="51"/>
      <c r="U71" s="51"/>
    </row>
    <row r="72" spans="1:22" x14ac:dyDescent="0.25">
      <c r="A72" s="704" t="s">
        <v>420</v>
      </c>
      <c r="B72" s="705"/>
      <c r="C72" s="112">
        <f>H30</f>
        <v>80.744</v>
      </c>
      <c r="D72" s="718" t="s">
        <v>431</v>
      </c>
      <c r="E72" s="718"/>
      <c r="F72" s="718"/>
      <c r="G72" s="718"/>
      <c r="H72" s="300">
        <f>'1461'!H72</f>
        <v>234891.44</v>
      </c>
      <c r="I72" s="116"/>
      <c r="N72" s="746" t="s">
        <v>424</v>
      </c>
      <c r="O72" s="747"/>
      <c r="P72" s="41">
        <f>T30</f>
        <v>77</v>
      </c>
      <c r="Q72" s="771" t="s">
        <v>426</v>
      </c>
      <c r="R72" s="772"/>
      <c r="S72" s="772"/>
      <c r="T72" s="760">
        <f>H72</f>
        <v>234891.44</v>
      </c>
      <c r="U72" s="760"/>
    </row>
    <row r="73" spans="1:22" x14ac:dyDescent="0.25">
      <c r="G73" s="42" t="s">
        <v>12</v>
      </c>
      <c r="H73" s="114">
        <f>ROUND(C72/H72,6)</f>
        <v>3.4400000000000001E-4</v>
      </c>
      <c r="I73" s="114"/>
      <c r="N73" s="747"/>
      <c r="O73" s="747"/>
      <c r="P73" s="747"/>
      <c r="Q73" s="747"/>
      <c r="R73" s="747"/>
      <c r="S73" s="747"/>
      <c r="T73" s="765">
        <f>ROUND(P72/T72,6)</f>
        <v>3.28E-4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77</v>
      </c>
      <c r="D75" s="717" t="s">
        <v>432</v>
      </c>
      <c r="E75" s="717"/>
      <c r="F75" s="717"/>
      <c r="G75" s="717"/>
      <c r="H75" s="299">
        <f>'1461'!H75</f>
        <v>187665.41</v>
      </c>
      <c r="I75" s="113"/>
      <c r="N75" s="746" t="s">
        <v>422</v>
      </c>
      <c r="O75" s="747"/>
      <c r="P75" s="41">
        <f>P30</f>
        <v>77</v>
      </c>
      <c r="Q75" s="767" t="s">
        <v>427</v>
      </c>
      <c r="R75" s="768"/>
      <c r="S75" s="768"/>
      <c r="T75" s="760">
        <f>H75</f>
        <v>187665.41</v>
      </c>
      <c r="U75" s="760"/>
    </row>
    <row r="76" spans="1:22" x14ac:dyDescent="0.25">
      <c r="B76" s="69"/>
      <c r="G76" s="42" t="s">
        <v>12</v>
      </c>
      <c r="H76" s="114">
        <f>ROUND(C75/H75,6)</f>
        <v>4.0999999999999999E-4</v>
      </c>
      <c r="I76" s="115"/>
      <c r="N76" s="747"/>
      <c r="O76" s="747"/>
      <c r="P76" s="747"/>
      <c r="Q76" s="747"/>
      <c r="R76" s="747"/>
      <c r="S76" s="747"/>
      <c r="T76" s="765">
        <f>ROUND(P75/T75,6)</f>
        <v>4.0999999999999999E-4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77</v>
      </c>
      <c r="D78" s="713" t="s">
        <v>433</v>
      </c>
      <c r="E78" s="713"/>
      <c r="F78" s="713"/>
      <c r="G78" s="713"/>
      <c r="H78" s="299">
        <f>'1461'!H78</f>
        <v>209892.26</v>
      </c>
      <c r="I78" s="113"/>
      <c r="N78" s="746" t="s">
        <v>422</v>
      </c>
      <c r="O78" s="747"/>
      <c r="P78" s="41">
        <f>P30</f>
        <v>77</v>
      </c>
      <c r="Q78" s="769" t="s">
        <v>428</v>
      </c>
      <c r="R78" s="770"/>
      <c r="S78" s="770"/>
      <c r="T78" s="760">
        <f>H78</f>
        <v>209892.26</v>
      </c>
      <c r="U78" s="760"/>
    </row>
    <row r="79" spans="1:22" x14ac:dyDescent="0.25">
      <c r="B79" s="69"/>
      <c r="G79" s="42" t="s">
        <v>12</v>
      </c>
      <c r="H79" s="114">
        <f>ROUND(C78/H78,6)</f>
        <v>3.6699999999999998E-4</v>
      </c>
      <c r="I79" s="115"/>
      <c r="N79" s="747"/>
      <c r="O79" s="747"/>
      <c r="P79" s="747"/>
      <c r="Q79" s="747"/>
      <c r="R79" s="747"/>
      <c r="S79" s="747"/>
      <c r="T79" s="765">
        <f>ROUND(P78/T78,6)</f>
        <v>3.6699999999999998E-4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77</v>
      </c>
      <c r="D81" s="717" t="s">
        <v>434</v>
      </c>
      <c r="E81" s="717"/>
      <c r="F81" s="717"/>
      <c r="G81" s="717"/>
      <c r="H81" s="299">
        <f>'1461'!H81</f>
        <v>187328.76</v>
      </c>
      <c r="I81" s="113"/>
      <c r="N81" s="746" t="s">
        <v>435</v>
      </c>
      <c r="O81" s="747"/>
      <c r="P81" s="41">
        <f>P30</f>
        <v>77</v>
      </c>
      <c r="Q81" s="767" t="s">
        <v>436</v>
      </c>
      <c r="R81" s="768"/>
      <c r="S81" s="768"/>
      <c r="T81" s="760">
        <f>H81</f>
        <v>187328.76</v>
      </c>
      <c r="U81" s="760"/>
    </row>
    <row r="82" spans="1:21" x14ac:dyDescent="0.25">
      <c r="B82" s="69"/>
      <c r="G82" s="42" t="s">
        <v>12</v>
      </c>
      <c r="H82" s="114">
        <f>ROUND(C81/H81,6)</f>
        <v>4.1100000000000002E-4</v>
      </c>
      <c r="I82" s="115"/>
      <c r="N82" s="747"/>
      <c r="O82" s="747"/>
      <c r="P82" s="747"/>
      <c r="Q82" s="747"/>
      <c r="R82" s="747"/>
      <c r="S82" s="747"/>
      <c r="T82" s="765">
        <f>ROUND(P81/T81,6)</f>
        <v>4.1100000000000002E-4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3.6699999999999998E-4</v>
      </c>
      <c r="I85" s="101">
        <f>ROUND(F85*H85,2)</f>
        <v>16942.080000000002</v>
      </c>
      <c r="N85" s="472" t="s">
        <v>471</v>
      </c>
      <c r="O85" s="51"/>
      <c r="P85" s="51"/>
      <c r="Q85" s="44"/>
      <c r="R85" s="438">
        <f>F85</f>
        <v>46163704</v>
      </c>
      <c r="S85" s="38" t="s">
        <v>6</v>
      </c>
      <c r="T85" s="440">
        <f>T79</f>
        <v>3.6699999999999998E-4</v>
      </c>
      <c r="U85" s="492">
        <f>ROUND(R85*T85,2)</f>
        <v>16942.080000000002</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3.6600000000000001E-4</v>
      </c>
      <c r="I88" s="101">
        <f>ROUND(F88*H88,2)</f>
        <v>0</v>
      </c>
      <c r="N88" s="766" t="s">
        <v>99</v>
      </c>
      <c r="O88" s="747"/>
      <c r="P88" s="747"/>
      <c r="Q88" s="44"/>
      <c r="R88" s="438">
        <f>F88</f>
        <v>0</v>
      </c>
      <c r="S88" s="38" t="s">
        <v>6</v>
      </c>
      <c r="T88" s="440">
        <f>T70</f>
        <v>3.6600000000000001E-4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4.1100000000000002E-4</v>
      </c>
      <c r="I90" s="101">
        <f>ROUND(F90*H90,2)</f>
        <v>7826.27</v>
      </c>
      <c r="N90" s="472" t="s">
        <v>472</v>
      </c>
      <c r="O90" s="51"/>
      <c r="P90" s="51"/>
      <c r="Q90" s="44"/>
      <c r="R90" s="438">
        <f>F90</f>
        <v>19042026</v>
      </c>
      <c r="S90" s="38" t="s">
        <v>6</v>
      </c>
      <c r="T90" s="440">
        <f>T82</f>
        <v>4.1100000000000002E-4</v>
      </c>
      <c r="U90" s="492">
        <f>ROUND(R90*T90,2)</f>
        <v>7826.27</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4.0999999999999999E-4</v>
      </c>
      <c r="I92" s="101">
        <f t="shared" ref="I92:I96" si="14">ROUND(F92*H92,2)</f>
        <v>4690.87</v>
      </c>
      <c r="N92" s="472" t="s">
        <v>473</v>
      </c>
      <c r="O92" s="51"/>
      <c r="P92" s="51"/>
      <c r="Q92" s="44"/>
      <c r="R92" s="438">
        <f t="shared" ref="R92:R96" si="15">F92</f>
        <v>11441151</v>
      </c>
      <c r="S92" s="38" t="s">
        <v>6</v>
      </c>
      <c r="T92" s="440">
        <f>T76</f>
        <v>4.0999999999999999E-4</v>
      </c>
      <c r="U92" s="492">
        <f>ROUND(R92*T92,2)</f>
        <v>4690.87</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3.4400000000000001E-4</v>
      </c>
      <c r="I94" s="101">
        <f t="shared" si="14"/>
        <v>87980.34</v>
      </c>
      <c r="N94" s="747" t="s">
        <v>438</v>
      </c>
      <c r="O94" s="747"/>
      <c r="P94" s="747"/>
      <c r="Q94" s="44"/>
      <c r="R94" s="438">
        <f t="shared" si="15"/>
        <v>255756816</v>
      </c>
      <c r="S94" s="38" t="s">
        <v>6</v>
      </c>
      <c r="T94" s="440">
        <f>T73</f>
        <v>3.28E-4</v>
      </c>
      <c r="U94" s="492">
        <f>ROUND(R94*T94,2)</f>
        <v>83888.24</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3.4400000000000001E-4</v>
      </c>
      <c r="I96" s="101">
        <f t="shared" si="14"/>
        <v>-545.42999999999995</v>
      </c>
      <c r="N96" s="746" t="s">
        <v>439</v>
      </c>
      <c r="O96" s="747"/>
      <c r="P96" s="747"/>
      <c r="Q96" s="44"/>
      <c r="R96" s="438">
        <f t="shared" si="15"/>
        <v>-1585559</v>
      </c>
      <c r="S96" s="38" t="s">
        <v>6</v>
      </c>
      <c r="T96" s="440">
        <f>T73</f>
        <v>3.28E-4</v>
      </c>
      <c r="U96" s="492">
        <f>ROUND(R96*T96,2)</f>
        <v>-520.05999999999995</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3.6600000000000001E-4</v>
      </c>
      <c r="I98" s="101">
        <f t="shared" ref="I98" si="16">ROUND(F98*H98,2)</f>
        <v>0</v>
      </c>
      <c r="N98" s="551" t="s">
        <v>513</v>
      </c>
      <c r="O98" s="551"/>
      <c r="P98" s="551"/>
      <c r="Q98" s="44"/>
      <c r="R98" s="554">
        <f>F98</f>
        <v>0</v>
      </c>
      <c r="S98" s="552" t="s">
        <v>6</v>
      </c>
      <c r="T98" s="440">
        <f>T70</f>
        <v>3.6600000000000001E-4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80.744</v>
      </c>
      <c r="D106" s="703"/>
      <c r="E106" s="46">
        <f>H8</f>
        <v>1.0407999999999999</v>
      </c>
      <c r="F106" s="302">
        <f>'1461'!F106</f>
        <v>910.12</v>
      </c>
      <c r="G106" s="39" t="s">
        <v>12</v>
      </c>
      <c r="H106" s="94">
        <f>ROUND(C106*E106*F106,2)</f>
        <v>76484.990000000005</v>
      </c>
      <c r="N106" s="53" t="s">
        <v>14</v>
      </c>
      <c r="O106" s="54">
        <f>T18+T19+T22+T25+T28+T29</f>
        <v>77</v>
      </c>
      <c r="P106" s="761">
        <f>T8</f>
        <v>1.0407999999999999</v>
      </c>
      <c r="Q106" s="761"/>
      <c r="R106" s="48">
        <f>F106</f>
        <v>910.12</v>
      </c>
      <c r="S106" s="40" t="s">
        <v>12</v>
      </c>
      <c r="T106" s="498">
        <f>ROUND(O106*P106*R106,2)</f>
        <v>72938.47</v>
      </c>
      <c r="U106" s="51"/>
    </row>
    <row r="107" spans="1:21" ht="16.5" thickBot="1" x14ac:dyDescent="0.3">
      <c r="A107" s="55"/>
      <c r="B107" s="122" t="s">
        <v>102</v>
      </c>
      <c r="C107" s="716">
        <f>SUM(C104:C106)</f>
        <v>80.744</v>
      </c>
      <c r="D107" s="716"/>
      <c r="E107" s="123"/>
      <c r="F107" s="123"/>
      <c r="G107" s="123"/>
      <c r="H107" s="124" t="s">
        <v>100</v>
      </c>
      <c r="I107" s="101">
        <f>IF(A1=75,0,H106+H105+H104)</f>
        <v>76484.990000000005</v>
      </c>
      <c r="N107" s="56" t="s">
        <v>89</v>
      </c>
      <c r="O107" s="57">
        <f>SUM(O104:O106)</f>
        <v>77</v>
      </c>
      <c r="P107" s="756" t="s">
        <v>16</v>
      </c>
      <c r="Q107" s="757"/>
      <c r="R107" s="757"/>
      <c r="S107" s="757"/>
      <c r="T107" s="757"/>
      <c r="U107" s="492">
        <f>IF(N1=75,0,T106+T105+T104)</f>
        <v>72938.47</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70</v>
      </c>
      <c r="D113" s="143">
        <v>69</v>
      </c>
      <c r="E113" s="116">
        <f>(C113+D113)/2</f>
        <v>69.5</v>
      </c>
      <c r="F113" s="126" t="s">
        <v>30</v>
      </c>
      <c r="G113" s="303">
        <f>'1461'!G113</f>
        <v>567</v>
      </c>
      <c r="I113" s="101">
        <f>ROUND(G113*E113,2)</f>
        <v>39406.5</v>
      </c>
      <c r="N113" s="755" t="s">
        <v>52</v>
      </c>
      <c r="O113" s="755"/>
      <c r="P113" s="754">
        <f>IF(H133=1,E113,0)</f>
        <v>69.5</v>
      </c>
      <c r="Q113" s="754"/>
      <c r="R113" s="754"/>
      <c r="S113" s="83" t="s">
        <v>30</v>
      </c>
      <c r="T113" s="58">
        <f>G113</f>
        <v>567</v>
      </c>
      <c r="U113" s="492">
        <f>ROUND(T113*P113,2)</f>
        <v>39406.5</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1149072.8499999999</v>
      </c>
      <c r="N128" s="472"/>
      <c r="O128" s="471"/>
      <c r="P128" s="471"/>
      <c r="Q128" s="305"/>
      <c r="R128" s="305"/>
      <c r="S128" s="305"/>
      <c r="T128" s="305"/>
      <c r="U128" s="499">
        <f>SUM(U30,U85,U88,U90,U92,U94,U96,U107,U113,U114,U124,U126)</f>
        <v>652405.6399999999</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1122882.22</v>
      </c>
      <c r="N130" s="747" t="s">
        <v>450</v>
      </c>
      <c r="O130" s="747"/>
      <c r="P130" s="747"/>
      <c r="Q130" s="747"/>
      <c r="R130" s="747"/>
      <c r="S130" s="747"/>
      <c r="T130" s="747"/>
      <c r="U130" s="132">
        <f>U128-U53</f>
        <v>623951.89999999991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623951.89999999991</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623951.89999999991</v>
      </c>
      <c r="I135" s="94">
        <f>ROUND(IF(E30=0,0,IF(E30&gt;250,-(((250/E30)*H135)*IF(G135="H",0.02,0.05)),IF(G135="H",-0.02*H135,-0.05*H135))),2)</f>
        <v>-31197.599999999999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1117875.2499999998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-427952.27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689922.97999999975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98560.43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CCC"/>
  </sheetPr>
  <dimension ref="A1:V221"/>
  <sheetViews>
    <sheetView topLeftCell="A28" workbookViewId="0">
      <selection activeCell="C17" sqref="C1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115</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177.79</v>
      </c>
      <c r="D14" s="141">
        <v>0</v>
      </c>
      <c r="E14" s="187">
        <f>IF(D$30=0,C14*2,C14+D14)</f>
        <v>355.58</v>
      </c>
      <c r="F14" s="797">
        <f>'1461'!F14:G14</f>
        <v>1.1180000000000001</v>
      </c>
      <c r="G14" s="797"/>
      <c r="H14" s="145">
        <f>ROUND(E14*F14,4)</f>
        <v>397.53840000000002</v>
      </c>
      <c r="I14" s="111">
        <f>ROUND(ROUND(ROUND(H14*$C$8,4)*($H$8),2)*(MAX($H$9,1)),2)</f>
        <v>2205735.4500000002</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32</v>
      </c>
      <c r="D15" s="143">
        <v>0</v>
      </c>
      <c r="E15" s="116">
        <f t="shared" ref="E15:E29" si="1">IF(D$30=0,C15*2,C15+D15)</f>
        <v>64</v>
      </c>
      <c r="F15" s="788">
        <f>'1461'!F15:G15</f>
        <v>1.1180000000000001</v>
      </c>
      <c r="G15" s="788"/>
      <c r="H15" s="80">
        <f t="shared" ref="H15:H29" si="2">ROUND(E15*F15,4)</f>
        <v>71.552000000000007</v>
      </c>
      <c r="I15" s="101">
        <f t="shared" ref="I15:I29" si="3">ROUND(ROUND(ROUND(H15*$C$8,4)*($H$8),2)*(MAX($H$9,1)),2)</f>
        <v>397005.13</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227.64</v>
      </c>
      <c r="D16" s="143">
        <v>0</v>
      </c>
      <c r="E16" s="116">
        <f t="shared" si="1"/>
        <v>455.28</v>
      </c>
      <c r="F16" s="788">
        <f>'1461'!F16:G16</f>
        <v>1</v>
      </c>
      <c r="G16" s="788"/>
      <c r="H16" s="80">
        <f t="shared" si="2"/>
        <v>455.28</v>
      </c>
      <c r="I16" s="101">
        <f t="shared" si="3"/>
        <v>2526113.79</v>
      </c>
      <c r="N16" s="747" t="s">
        <v>22</v>
      </c>
      <c r="O16" s="747"/>
      <c r="P16" s="789">
        <f t="shared" si="0"/>
        <v>0</v>
      </c>
      <c r="Q16" s="789"/>
      <c r="R16" s="793">
        <v>1</v>
      </c>
      <c r="S16" s="793"/>
      <c r="T16" s="95">
        <f t="shared" si="4"/>
        <v>0</v>
      </c>
      <c r="U16" s="492">
        <f t="shared" si="5"/>
        <v>0</v>
      </c>
    </row>
    <row r="17" spans="1:21" x14ac:dyDescent="0.25">
      <c r="A17" s="705" t="s">
        <v>23</v>
      </c>
      <c r="B17" s="705"/>
      <c r="C17" s="143">
        <v>57.5</v>
      </c>
      <c r="D17" s="143">
        <v>0</v>
      </c>
      <c r="E17" s="116">
        <f t="shared" si="1"/>
        <v>115</v>
      </c>
      <c r="F17" s="788">
        <f>'1461'!F17:G17</f>
        <v>1</v>
      </c>
      <c r="G17" s="788"/>
      <c r="H17" s="80">
        <f t="shared" si="2"/>
        <v>115</v>
      </c>
      <c r="I17" s="101">
        <f t="shared" si="3"/>
        <v>638075.66</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25.71</v>
      </c>
      <c r="D26" s="143">
        <v>0</v>
      </c>
      <c r="E26" s="116">
        <f t="shared" si="1"/>
        <v>51.42</v>
      </c>
      <c r="F26" s="788">
        <f>'1461'!F26:G26</f>
        <v>1.1919999999999999</v>
      </c>
      <c r="G26" s="788"/>
      <c r="H26" s="80">
        <f t="shared" si="2"/>
        <v>61.2926</v>
      </c>
      <c r="I26" s="101">
        <f t="shared" si="3"/>
        <v>340081.01</v>
      </c>
      <c r="N26" s="747" t="s">
        <v>85</v>
      </c>
      <c r="O26" s="747"/>
      <c r="P26" s="789">
        <f t="shared" si="0"/>
        <v>0</v>
      </c>
      <c r="Q26" s="789"/>
      <c r="R26" s="793">
        <v>1</v>
      </c>
      <c r="S26" s="793"/>
      <c r="T26" s="95">
        <f t="shared" si="4"/>
        <v>0</v>
      </c>
      <c r="U26" s="492">
        <f t="shared" si="5"/>
        <v>0</v>
      </c>
    </row>
    <row r="27" spans="1:21" x14ac:dyDescent="0.25">
      <c r="A27" s="705" t="s">
        <v>86</v>
      </c>
      <c r="B27" s="705"/>
      <c r="C27" s="143">
        <v>2.86</v>
      </c>
      <c r="D27" s="143">
        <v>0</v>
      </c>
      <c r="E27" s="116">
        <f t="shared" si="1"/>
        <v>5.72</v>
      </c>
      <c r="F27" s="788">
        <f>'1461'!F27:G27</f>
        <v>1.1919999999999999</v>
      </c>
      <c r="G27" s="788"/>
      <c r="H27" s="80">
        <f t="shared" si="2"/>
        <v>6.8182</v>
      </c>
      <c r="I27" s="101">
        <f t="shared" si="3"/>
        <v>37830.67</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523.5</v>
      </c>
      <c r="D30" s="94">
        <f>SUM(D14:D29)</f>
        <v>0</v>
      </c>
      <c r="E30" s="94">
        <f>SUM(E14:E29)</f>
        <v>1047</v>
      </c>
      <c r="F30" s="724"/>
      <c r="G30" s="724"/>
      <c r="H30" s="99">
        <f>SUM(H14:H29)</f>
        <v>1107.4811999999999</v>
      </c>
      <c r="I30" s="94">
        <f>SUM(I14:I29)</f>
        <v>6144841.71</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6146945.6800000006</v>
      </c>
      <c r="G51" s="109" t="s">
        <v>6</v>
      </c>
      <c r="H51" s="420">
        <v>5.5899999999999998E-2</v>
      </c>
      <c r="I51" s="101">
        <f>ROUND(F51*H51,2)</f>
        <v>343614.26</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6146945.6800000006</v>
      </c>
      <c r="G52" s="109" t="s">
        <v>6</v>
      </c>
      <c r="H52" s="420">
        <v>1.0699999999999999E-2</v>
      </c>
      <c r="I52" s="101">
        <f>ROUND(F52*H52,2)</f>
        <v>65772.320000000007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409386.58</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28.92</v>
      </c>
      <c r="D57" s="143">
        <v>0</v>
      </c>
      <c r="E57" s="116">
        <f t="shared" ref="E57:E65" si="10">IF(D$66=0,C57*2,C57+D57)</f>
        <v>57.84</v>
      </c>
      <c r="F57" s="462" t="s">
        <v>455</v>
      </c>
      <c r="G57" s="462">
        <v>251</v>
      </c>
      <c r="H57" s="476">
        <f>'1461'!H57</f>
        <v>1047</v>
      </c>
      <c r="I57" s="101">
        <f>ROUND(E57*H57,2)</f>
        <v>60558.48</v>
      </c>
      <c r="N57" s="778" t="s">
        <v>463</v>
      </c>
      <c r="O57" s="778"/>
      <c r="P57" s="780"/>
      <c r="Q57" s="780"/>
      <c r="R57" s="468" t="s">
        <v>455</v>
      </c>
      <c r="S57" s="468">
        <v>251</v>
      </c>
      <c r="T57" s="479">
        <f>H57</f>
        <v>1047</v>
      </c>
      <c r="U57" s="493">
        <f>ROUND(P57*T57,2)</f>
        <v>0</v>
      </c>
      <c r="V57" s="443"/>
    </row>
    <row r="58" spans="1:22" x14ac:dyDescent="0.25">
      <c r="A58" s="721"/>
      <c r="B58" s="721"/>
      <c r="C58" s="143">
        <v>3.08</v>
      </c>
      <c r="D58" s="143">
        <v>0</v>
      </c>
      <c r="E58" s="116">
        <f t="shared" si="10"/>
        <v>6.16</v>
      </c>
      <c r="F58" s="462" t="s">
        <v>455</v>
      </c>
      <c r="G58" s="462">
        <v>252</v>
      </c>
      <c r="H58" s="476">
        <f>'1461'!H58</f>
        <v>3380</v>
      </c>
      <c r="I58" s="101">
        <f t="shared" ref="I58:I65" si="11">ROUND(E58*H58,2)</f>
        <v>20820.8</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55.45</v>
      </c>
      <c r="D60" s="143">
        <v>0</v>
      </c>
      <c r="E60" s="116">
        <f t="shared" si="10"/>
        <v>110.9</v>
      </c>
      <c r="F60" s="463" t="s">
        <v>13</v>
      </c>
      <c r="G60" s="462">
        <v>251</v>
      </c>
      <c r="H60" s="476">
        <f>'1461'!H60</f>
        <v>1173</v>
      </c>
      <c r="I60" s="101">
        <f t="shared" si="11"/>
        <v>130085.7</v>
      </c>
      <c r="N60" s="779"/>
      <c r="O60" s="779"/>
      <c r="P60" s="773"/>
      <c r="Q60" s="773"/>
      <c r="R60" s="40" t="s">
        <v>13</v>
      </c>
      <c r="S60" s="468">
        <v>251</v>
      </c>
      <c r="T60" s="479">
        <f t="shared" si="12"/>
        <v>1173</v>
      </c>
      <c r="U60" s="493">
        <f t="shared" si="13"/>
        <v>0</v>
      </c>
      <c r="V60" s="443"/>
    </row>
    <row r="61" spans="1:22" x14ac:dyDescent="0.25">
      <c r="A61" s="721"/>
      <c r="B61" s="721"/>
      <c r="C61" s="143">
        <v>2.0499999999999998</v>
      </c>
      <c r="D61" s="143">
        <v>0</v>
      </c>
      <c r="E61" s="116">
        <f t="shared" si="10"/>
        <v>4.0999999999999996</v>
      </c>
      <c r="F61" s="463" t="s">
        <v>13</v>
      </c>
      <c r="G61" s="462">
        <v>252</v>
      </c>
      <c r="H61" s="476">
        <f>'1461'!H61</f>
        <v>3506</v>
      </c>
      <c r="I61" s="101">
        <f t="shared" si="11"/>
        <v>14374.6</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89.5</v>
      </c>
      <c r="D66" s="97">
        <f>SUM(D57:D65)</f>
        <v>0</v>
      </c>
      <c r="E66" s="97">
        <f>SUM(E57:E65)</f>
        <v>179</v>
      </c>
      <c r="F66" s="708" t="s">
        <v>464</v>
      </c>
      <c r="G66" s="708"/>
      <c r="H66" s="708"/>
      <c r="I66" s="97">
        <f>SUM(I57:I65)</f>
        <v>225839.58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1047</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4.9800000000000001E-3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1107.4811999999999</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4.7149999999999996E-3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1047</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5.5789999999999998E-3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1047</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4.9880000000000002E-3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1047</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5.5890000000000002E-3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4.9880000000000002E-3</v>
      </c>
      <c r="I85" s="101">
        <f>ROUND(F85*H85,2)</f>
        <v>230264.56</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4.9800000000000001E-3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5.5890000000000002E-3</v>
      </c>
      <c r="I90" s="101">
        <f>ROUND(F90*H90,2)</f>
        <v>106425.88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5.5789999999999998E-3</v>
      </c>
      <c r="I92" s="101">
        <f t="shared" ref="I92:I96" si="14">ROUND(F92*H92,2)</f>
        <v>63830.18</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4.7149999999999996E-3</v>
      </c>
      <c r="I94" s="101">
        <f t="shared" si="14"/>
        <v>1205893.3899999999</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4.7149999999999996E-3</v>
      </c>
      <c r="I96" s="101">
        <f t="shared" si="14"/>
        <v>-7475.91</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4.9800000000000001E-3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530.38300000000004</v>
      </c>
      <c r="D104" s="703"/>
      <c r="E104" s="46">
        <f>H8</f>
        <v>1.0407999999999999</v>
      </c>
      <c r="F104" s="302">
        <f>'1461'!F104</f>
        <v>950.92</v>
      </c>
      <c r="G104" s="39" t="s">
        <v>12</v>
      </c>
      <c r="H104" s="101">
        <f>ROUND(C104*E104*F104,2)</f>
        <v>524929.36</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577.09820000000002</v>
      </c>
      <c r="D105" s="703"/>
      <c r="E105" s="46">
        <f>H8</f>
        <v>1.0407999999999999</v>
      </c>
      <c r="F105" s="302">
        <f>'1461'!F105</f>
        <v>907.92</v>
      </c>
      <c r="G105" s="39" t="s">
        <v>12</v>
      </c>
      <c r="H105" s="101">
        <f>ROUND(C105*E105*F105,2)</f>
        <v>545336.52</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1107.4812000000002</v>
      </c>
      <c r="D107" s="716"/>
      <c r="E107" s="123"/>
      <c r="F107" s="123"/>
      <c r="G107" s="123"/>
      <c r="H107" s="124" t="s">
        <v>100</v>
      </c>
      <c r="I107" s="101">
        <f>IF(A1=75,0,H106+H105+H104)</f>
        <v>1070265.8799999999</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74</v>
      </c>
      <c r="D113" s="143">
        <v>71</v>
      </c>
      <c r="E113" s="116">
        <f>(C113+D113)/2</f>
        <v>72.5</v>
      </c>
      <c r="F113" s="126" t="s">
        <v>30</v>
      </c>
      <c r="G113" s="303">
        <f>'1461'!G113</f>
        <v>567</v>
      </c>
      <c r="I113" s="101">
        <f>ROUND(G113*E113,2)</f>
        <v>41107.5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9080992.7699999996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8671606.1899999995</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8671606.1899999995</v>
      </c>
      <c r="I135" s="94">
        <f>ROUND(IF(E30=0,0,IF(E30&gt;250,-(((250/E30)*H135)*IF(G135="H",0.02,0.05)),IF(G135="H",-0.02*H135,-0.05*H135))),2)</f>
        <v>-41411.68</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9039581.0899999999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-3773511.99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5266069.0999999996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752295.59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132020.44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CCCC"/>
  </sheetPr>
  <dimension ref="A1:V221"/>
  <sheetViews>
    <sheetView topLeftCell="A25" workbookViewId="0">
      <selection activeCell="H23" sqref="H2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116</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40.93</v>
      </c>
      <c r="D14" s="141">
        <v>0</v>
      </c>
      <c r="E14" s="187">
        <f>IF(D$30=0,C14*2,C14+D14)</f>
        <v>81.86</v>
      </c>
      <c r="F14" s="797">
        <f>'1461'!F14:G14</f>
        <v>1.1180000000000001</v>
      </c>
      <c r="G14" s="797"/>
      <c r="H14" s="145">
        <f>ROUND(E14*F14,4)</f>
        <v>91.519499999999994</v>
      </c>
      <c r="I14" s="111">
        <f>ROUND(ROUND(ROUND(H14*$C$8,4)*($H$8),2)*(MAX($H$9,1)),2)</f>
        <v>507794.48</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7.5</v>
      </c>
      <c r="D15" s="143">
        <v>0</v>
      </c>
      <c r="E15" s="116">
        <f t="shared" ref="E15:E29" si="1">IF(D$30=0,C15*2,C15+D15)</f>
        <v>15</v>
      </c>
      <c r="F15" s="788">
        <f>'1461'!F15:G15</f>
        <v>1.1180000000000001</v>
      </c>
      <c r="G15" s="788"/>
      <c r="H15" s="80">
        <f t="shared" ref="H15:H29" si="2">ROUND(E15*F15,4)</f>
        <v>16.77</v>
      </c>
      <c r="I15" s="101">
        <f t="shared" ref="I15:I29" si="3">ROUND(ROUND(ROUND(H15*$C$8,4)*($H$8),2)*(MAX($H$9,1)),2)</f>
        <v>93048.08</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65.63</v>
      </c>
      <c r="D16" s="143">
        <v>0</v>
      </c>
      <c r="E16" s="116">
        <f t="shared" si="1"/>
        <v>131.26</v>
      </c>
      <c r="F16" s="788">
        <f>'1461'!F16:G16</f>
        <v>1</v>
      </c>
      <c r="G16" s="788"/>
      <c r="H16" s="80">
        <f t="shared" si="2"/>
        <v>131.26</v>
      </c>
      <c r="I16" s="101">
        <f t="shared" si="3"/>
        <v>728294.01</v>
      </c>
      <c r="N16" s="747" t="s">
        <v>22</v>
      </c>
      <c r="O16" s="747"/>
      <c r="P16" s="789">
        <f t="shared" si="0"/>
        <v>0</v>
      </c>
      <c r="Q16" s="789"/>
      <c r="R16" s="793">
        <v>1</v>
      </c>
      <c r="S16" s="793"/>
      <c r="T16" s="95">
        <f t="shared" si="4"/>
        <v>0</v>
      </c>
      <c r="U16" s="492">
        <f t="shared" si="5"/>
        <v>0</v>
      </c>
    </row>
    <row r="17" spans="1:21" x14ac:dyDescent="0.25">
      <c r="A17" s="705" t="s">
        <v>23</v>
      </c>
      <c r="B17" s="705"/>
      <c r="C17" s="143">
        <v>16</v>
      </c>
      <c r="D17" s="143">
        <v>0</v>
      </c>
      <c r="E17" s="116">
        <f t="shared" si="1"/>
        <v>32</v>
      </c>
      <c r="F17" s="788">
        <f>'1461'!F17:G17</f>
        <v>1</v>
      </c>
      <c r="G17" s="788"/>
      <c r="H17" s="80">
        <f t="shared" si="2"/>
        <v>32</v>
      </c>
      <c r="I17" s="101">
        <f t="shared" si="3"/>
        <v>177551.49</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0.5</v>
      </c>
      <c r="D20" s="143">
        <v>0</v>
      </c>
      <c r="E20" s="116">
        <f t="shared" si="1"/>
        <v>1</v>
      </c>
      <c r="F20" s="788">
        <f>'1461'!F20:G20</f>
        <v>3.6970000000000001</v>
      </c>
      <c r="G20" s="788"/>
      <c r="H20" s="80">
        <f t="shared" si="2"/>
        <v>3.6970000000000001</v>
      </c>
      <c r="I20" s="101">
        <f t="shared" si="3"/>
        <v>20512.75</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4.07</v>
      </c>
      <c r="D26" s="143">
        <v>0</v>
      </c>
      <c r="E26" s="116">
        <f t="shared" si="1"/>
        <v>8.14</v>
      </c>
      <c r="F26" s="788">
        <f>'1461'!F26:G26</f>
        <v>1.1919999999999999</v>
      </c>
      <c r="G26" s="788"/>
      <c r="H26" s="80">
        <f t="shared" si="2"/>
        <v>9.7028999999999996</v>
      </c>
      <c r="I26" s="101">
        <f t="shared" si="3"/>
        <v>53836.39</v>
      </c>
      <c r="N26" s="747" t="s">
        <v>85</v>
      </c>
      <c r="O26" s="747"/>
      <c r="P26" s="789">
        <f t="shared" si="0"/>
        <v>0</v>
      </c>
      <c r="Q26" s="789"/>
      <c r="R26" s="793">
        <v>1</v>
      </c>
      <c r="S26" s="793"/>
      <c r="T26" s="95">
        <f t="shared" si="4"/>
        <v>0</v>
      </c>
      <c r="U26" s="492">
        <f t="shared" si="5"/>
        <v>0</v>
      </c>
    </row>
    <row r="27" spans="1:21" x14ac:dyDescent="0.25">
      <c r="A27" s="705" t="s">
        <v>86</v>
      </c>
      <c r="B27" s="705"/>
      <c r="C27" s="143">
        <v>0.87</v>
      </c>
      <c r="D27" s="143">
        <v>0</v>
      </c>
      <c r="E27" s="116">
        <f t="shared" si="1"/>
        <v>1.74</v>
      </c>
      <c r="F27" s="788">
        <f>'1461'!F27:G27</f>
        <v>1.1919999999999999</v>
      </c>
      <c r="G27" s="788"/>
      <c r="H27" s="80">
        <f t="shared" si="2"/>
        <v>2.0741000000000001</v>
      </c>
      <c r="I27" s="101">
        <f t="shared" si="3"/>
        <v>11508.11</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135.5</v>
      </c>
      <c r="D30" s="94">
        <f>SUM(D14:D29)</f>
        <v>0</v>
      </c>
      <c r="E30" s="94">
        <f>SUM(E14:E29)</f>
        <v>271</v>
      </c>
      <c r="F30" s="724"/>
      <c r="G30" s="724"/>
      <c r="H30" s="99">
        <f>SUM(H14:H29)</f>
        <v>287.02349999999996</v>
      </c>
      <c r="I30" s="94">
        <f>SUM(I14:I29)</f>
        <v>1592545.3099999998</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1484980.7200000004</v>
      </c>
      <c r="G51" s="109" t="s">
        <v>6</v>
      </c>
      <c r="H51" s="420">
        <v>5.5899999999999998E-2</v>
      </c>
      <c r="I51" s="101">
        <f>ROUND(F51*H51,2)</f>
        <v>83010.42</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1484980.7200000004</v>
      </c>
      <c r="G52" s="109" t="s">
        <v>6</v>
      </c>
      <c r="H52" s="420">
        <v>1.0699999999999999E-2</v>
      </c>
      <c r="I52" s="101">
        <f>ROUND(F52*H52,2)</f>
        <v>15889.29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98899.709999999992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6.35</v>
      </c>
      <c r="D57" s="143">
        <v>0</v>
      </c>
      <c r="E57" s="116">
        <f t="shared" ref="E57:E65" si="10">IF(D$66=0,C57*2,C57+D57)</f>
        <v>12.7</v>
      </c>
      <c r="F57" s="462" t="s">
        <v>455</v>
      </c>
      <c r="G57" s="462">
        <v>251</v>
      </c>
      <c r="H57" s="476">
        <f>'1461'!H57</f>
        <v>1047</v>
      </c>
      <c r="I57" s="101">
        <f>ROUND(E57*H57,2)</f>
        <v>13296.9</v>
      </c>
      <c r="N57" s="778" t="s">
        <v>463</v>
      </c>
      <c r="O57" s="778"/>
      <c r="P57" s="780"/>
      <c r="Q57" s="780"/>
      <c r="R57" s="468" t="s">
        <v>455</v>
      </c>
      <c r="S57" s="468">
        <v>251</v>
      </c>
      <c r="T57" s="479">
        <f>H57</f>
        <v>1047</v>
      </c>
      <c r="U57" s="493">
        <f>ROUND(P57*T57,2)</f>
        <v>0</v>
      </c>
      <c r="V57" s="443"/>
    </row>
    <row r="58" spans="1:22" x14ac:dyDescent="0.25">
      <c r="A58" s="721"/>
      <c r="B58" s="721"/>
      <c r="C58" s="143">
        <v>1.1499999999999999</v>
      </c>
      <c r="D58" s="143">
        <v>0</v>
      </c>
      <c r="E58" s="116">
        <f t="shared" si="10"/>
        <v>2.2999999999999998</v>
      </c>
      <c r="F58" s="462" t="s">
        <v>455</v>
      </c>
      <c r="G58" s="462">
        <v>252</v>
      </c>
      <c r="H58" s="476">
        <f>'1461'!H58</f>
        <v>3380</v>
      </c>
      <c r="I58" s="101">
        <f t="shared" ref="I58:I65" si="11">ROUND(E58*H58,2)</f>
        <v>7774</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15.45</v>
      </c>
      <c r="D60" s="143">
        <v>0</v>
      </c>
      <c r="E60" s="116">
        <f t="shared" si="10"/>
        <v>30.9</v>
      </c>
      <c r="F60" s="463" t="s">
        <v>13</v>
      </c>
      <c r="G60" s="462">
        <v>251</v>
      </c>
      <c r="H60" s="476">
        <f>'1461'!H60</f>
        <v>1173</v>
      </c>
      <c r="I60" s="101">
        <f t="shared" si="11"/>
        <v>36245.699999999997</v>
      </c>
      <c r="N60" s="779"/>
      <c r="O60" s="779"/>
      <c r="P60" s="773"/>
      <c r="Q60" s="773"/>
      <c r="R60" s="40" t="s">
        <v>13</v>
      </c>
      <c r="S60" s="468">
        <v>251</v>
      </c>
      <c r="T60" s="479">
        <f t="shared" si="12"/>
        <v>1173</v>
      </c>
      <c r="U60" s="493">
        <f t="shared" si="13"/>
        <v>0</v>
      </c>
      <c r="V60" s="443"/>
    </row>
    <row r="61" spans="1:22" x14ac:dyDescent="0.25">
      <c r="A61" s="721"/>
      <c r="B61" s="721"/>
      <c r="C61" s="143">
        <v>0.55000000000000004</v>
      </c>
      <c r="D61" s="143">
        <v>0</v>
      </c>
      <c r="E61" s="116">
        <f t="shared" si="10"/>
        <v>1.1000000000000001</v>
      </c>
      <c r="F61" s="463" t="s">
        <v>13</v>
      </c>
      <c r="G61" s="462">
        <v>252</v>
      </c>
      <c r="H61" s="476">
        <f>'1461'!H61</f>
        <v>3506</v>
      </c>
      <c r="I61" s="101">
        <f t="shared" si="11"/>
        <v>3856.6</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23.5</v>
      </c>
      <c r="D66" s="97">
        <f>SUM(D57:D65)</f>
        <v>0</v>
      </c>
      <c r="E66" s="97">
        <f>SUM(E57:E65)</f>
        <v>47</v>
      </c>
      <c r="F66" s="708" t="s">
        <v>464</v>
      </c>
      <c r="G66" s="708"/>
      <c r="H66" s="708"/>
      <c r="I66" s="97">
        <f>SUM(I57:I65)</f>
        <v>61173.2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271</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1.289E-3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287.02349999999996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1.222E-3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271</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1.444E-3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271</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1.291E-3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271</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1.4469999999999999E-3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1.291E-3</v>
      </c>
      <c r="I85" s="101">
        <f>ROUND(F85*H85,2)</f>
        <v>59597.34</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1.289E-3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1.4469999999999999E-3</v>
      </c>
      <c r="I90" s="101">
        <f>ROUND(F90*H90,2)</f>
        <v>27553.81</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1.444E-3</v>
      </c>
      <c r="I92" s="101">
        <f t="shared" ref="I92:I96" si="14">ROUND(F92*H92,2)</f>
        <v>16521.02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1.222E-3</v>
      </c>
      <c r="I94" s="101">
        <f t="shared" si="14"/>
        <v>312534.83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1.222E-3</v>
      </c>
      <c r="I96" s="101">
        <f t="shared" si="14"/>
        <v>-1937.55</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1.289E-3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121.68939999999999</v>
      </c>
      <c r="D104" s="703"/>
      <c r="E104" s="46">
        <f>H8</f>
        <v>1.0407999999999999</v>
      </c>
      <c r="F104" s="302">
        <f>'1461'!F104</f>
        <v>950.92</v>
      </c>
      <c r="G104" s="39" t="s">
        <v>12</v>
      </c>
      <c r="H104" s="101">
        <f>ROUND(C104*E104*F104,2)</f>
        <v>120438.13</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165.33409999999998</v>
      </c>
      <c r="D105" s="703"/>
      <c r="E105" s="46">
        <f>H8</f>
        <v>1.0407999999999999</v>
      </c>
      <c r="F105" s="302">
        <f>'1461'!F105</f>
        <v>907.92</v>
      </c>
      <c r="G105" s="39" t="s">
        <v>12</v>
      </c>
      <c r="H105" s="101">
        <f>ROUND(C105*E105*F105,2)</f>
        <v>156234.63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287.02349999999996</v>
      </c>
      <c r="D107" s="716"/>
      <c r="E107" s="123"/>
      <c r="F107" s="123"/>
      <c r="G107" s="123"/>
      <c r="H107" s="124" t="s">
        <v>100</v>
      </c>
      <c r="I107" s="101">
        <f>IF(A1=75,0,H106+H105+H104)</f>
        <v>276672.76</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249</v>
      </c>
      <c r="D113" s="143">
        <v>248</v>
      </c>
      <c r="E113" s="116">
        <f>(C113+D113)/2</f>
        <v>248.5</v>
      </c>
      <c r="F113" s="126" t="s">
        <v>30</v>
      </c>
      <c r="G113" s="303">
        <f>'1461'!G113</f>
        <v>567</v>
      </c>
      <c r="I113" s="101">
        <f>ROUND(G113*E113,2)</f>
        <v>140899.5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2485560.2199999997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2386660.5099999998</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2386660.5099999998</v>
      </c>
      <c r="I135" s="94">
        <f>ROUND(IF(E30=0,0,IF(E30&gt;250,-(((250/E30)*H135)*IF(G135="H",0.02,0.05)),IF(G135="H",-0.02*H135,-0.05*H135))),2)</f>
        <v>-110085.82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2375474.4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-921490.85000000009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1453983.5499999998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207711.94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9247.2099999999991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33"/>
  <sheetViews>
    <sheetView tabSelected="1" workbookViewId="0">
      <selection activeCell="D2" sqref="D2"/>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6" t="s">
        <v>546</v>
      </c>
      <c r="C1" s="216"/>
      <c r="I1" s="243"/>
    </row>
    <row r="2" spans="1:9" ht="12.75" customHeight="1" x14ac:dyDescent="0.2">
      <c r="B2" s="237" t="str">
        <f>'1461'!A3</f>
        <v>Based on the FLDOE 2024-25 Second Calculation</v>
      </c>
      <c r="C2" s="217"/>
      <c r="E2" s="229"/>
      <c r="F2" s="239"/>
      <c r="G2" s="229"/>
      <c r="I2" s="252"/>
    </row>
    <row r="3" spans="1:9" ht="12.75" customHeight="1" thickBot="1" x14ac:dyDescent="0.25">
      <c r="B3" s="190"/>
      <c r="C3" s="217"/>
      <c r="E3" s="229"/>
      <c r="F3" s="692"/>
      <c r="G3" s="692"/>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4">
        <v>1</v>
      </c>
      <c r="B5" s="667" t="s">
        <v>537</v>
      </c>
      <c r="C5" s="666" t="s">
        <v>540</v>
      </c>
      <c r="D5" s="669" t="s">
        <v>549</v>
      </c>
      <c r="E5" s="663">
        <f>'0040'!I$145</f>
        <v>38571.97</v>
      </c>
      <c r="F5" s="239"/>
      <c r="G5" s="663">
        <f>SUBTOTAL(109,E5:F7)</f>
        <v>38571.97</v>
      </c>
      <c r="I5" s="656"/>
    </row>
    <row r="6" spans="1:9" ht="12.75" hidden="1" customHeight="1" x14ac:dyDescent="0.2">
      <c r="A6" s="191"/>
      <c r="B6" s="665"/>
      <c r="C6" s="654"/>
      <c r="D6" s="670"/>
      <c r="E6" s="655"/>
      <c r="F6" s="239"/>
      <c r="G6" s="655"/>
      <c r="I6" s="351"/>
    </row>
    <row r="7" spans="1:9" ht="12.75" hidden="1" customHeight="1" x14ac:dyDescent="0.2">
      <c r="A7" s="191"/>
      <c r="B7" s="665"/>
      <c r="C7" s="654"/>
      <c r="D7" s="670"/>
      <c r="E7" s="655"/>
      <c r="F7" s="239"/>
      <c r="G7" s="655"/>
      <c r="I7" s="352" t="s">
        <v>330</v>
      </c>
    </row>
    <row r="8" spans="1:9" ht="12.75" customHeight="1" x14ac:dyDescent="0.2">
      <c r="A8" s="194">
        <v>2</v>
      </c>
      <c r="B8" s="667" t="s">
        <v>538</v>
      </c>
      <c r="C8" s="666" t="s">
        <v>544</v>
      </c>
      <c r="D8" s="669" t="str">
        <f>D5</f>
        <v>FTE December 2024</v>
      </c>
      <c r="E8" s="663">
        <f>'0100'!I$145</f>
        <v>32140.48</v>
      </c>
      <c r="F8" s="239"/>
      <c r="G8" s="663">
        <f>SUBTOTAL(109,E8:F10)</f>
        <v>32140.48</v>
      </c>
      <c r="I8" s="392"/>
    </row>
    <row r="9" spans="1:9" ht="12.75" hidden="1" customHeight="1" x14ac:dyDescent="0.2">
      <c r="A9" s="191"/>
      <c r="B9" s="665"/>
      <c r="C9" s="654"/>
      <c r="D9" s="670"/>
      <c r="E9" s="655"/>
      <c r="F9" s="239"/>
      <c r="G9" s="655"/>
      <c r="I9" s="392"/>
    </row>
    <row r="10" spans="1:9" ht="12.75" hidden="1" customHeight="1" x14ac:dyDescent="0.2">
      <c r="A10" s="191"/>
      <c r="B10" s="654"/>
      <c r="C10" s="654"/>
      <c r="D10" s="655"/>
      <c r="E10" s="655"/>
      <c r="F10" s="239"/>
      <c r="G10" s="655"/>
      <c r="I10" s="351"/>
    </row>
    <row r="11" spans="1:9" ht="12.75" hidden="1" customHeight="1" x14ac:dyDescent="0.2">
      <c r="A11" s="191"/>
      <c r="B11" s="654"/>
      <c r="C11" s="654"/>
      <c r="D11" s="655"/>
      <c r="E11" s="655"/>
      <c r="F11" s="239"/>
      <c r="G11" s="655"/>
      <c r="I11" s="353"/>
    </row>
    <row r="12" spans="1:9" s="260" customFormat="1" ht="13.5" customHeight="1" x14ac:dyDescent="0.2">
      <c r="A12" s="198">
        <v>3</v>
      </c>
      <c r="B12" s="199" t="s">
        <v>158</v>
      </c>
      <c r="C12" s="219" t="s">
        <v>190</v>
      </c>
      <c r="D12" s="668" t="s">
        <v>549</v>
      </c>
      <c r="E12" s="200">
        <f>'1461'!I$145</f>
        <v>452087.81</v>
      </c>
      <c r="F12" s="343"/>
      <c r="G12" s="200">
        <f>SUBTOTAL(109,E12:F33)</f>
        <v>358486.12000000005</v>
      </c>
      <c r="H12" s="259"/>
      <c r="I12" s="353"/>
    </row>
    <row r="13" spans="1:9" s="260" customFormat="1" ht="12.75" customHeight="1" x14ac:dyDescent="0.2">
      <c r="A13" s="198"/>
      <c r="B13" s="199"/>
      <c r="C13" s="219"/>
      <c r="D13" s="232" t="s">
        <v>278</v>
      </c>
      <c r="E13" s="200"/>
      <c r="F13" s="343">
        <v>-7112.47</v>
      </c>
      <c r="G13" s="200"/>
      <c r="H13" s="259"/>
      <c r="I13" s="352" t="s">
        <v>330</v>
      </c>
    </row>
    <row r="14" spans="1:9" s="260" customFormat="1" ht="12.75" hidden="1" customHeight="1" x14ac:dyDescent="0.2">
      <c r="A14" s="198"/>
      <c r="B14" s="199"/>
      <c r="C14" s="219"/>
      <c r="D14" s="391" t="s">
        <v>491</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18"/>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57"/>
    </row>
    <row r="20" spans="1:9" s="260" customFormat="1" ht="12.75" customHeight="1" x14ac:dyDescent="0.2">
      <c r="A20" s="198"/>
      <c r="B20" s="199"/>
      <c r="C20" s="228"/>
      <c r="D20" s="279" t="s">
        <v>229</v>
      </c>
      <c r="E20" s="200"/>
      <c r="F20" s="343">
        <v>-11300</v>
      </c>
      <c r="G20" s="200"/>
      <c r="H20" s="259"/>
    </row>
    <row r="21" spans="1:9" s="260" customFormat="1" ht="12.75" customHeight="1" x14ac:dyDescent="0.2">
      <c r="A21" s="198"/>
      <c r="B21" s="199"/>
      <c r="C21" s="228"/>
      <c r="D21" s="279" t="s">
        <v>230</v>
      </c>
      <c r="E21" s="200"/>
      <c r="F21" s="343">
        <v>-266.12</v>
      </c>
      <c r="G21" s="200"/>
      <c r="H21" s="259"/>
      <c r="I21" s="658"/>
    </row>
    <row r="22" spans="1:9" s="260" customFormat="1" ht="12.75" customHeight="1" x14ac:dyDescent="0.2">
      <c r="A22" s="198"/>
      <c r="B22" s="199"/>
      <c r="C22" s="228"/>
      <c r="D22" s="315" t="s">
        <v>452</v>
      </c>
      <c r="E22" s="200"/>
      <c r="F22" s="343">
        <v>-94.48</v>
      </c>
      <c r="G22" s="200"/>
      <c r="H22" s="259"/>
      <c r="I22" s="658"/>
    </row>
    <row r="23" spans="1:9" s="260" customFormat="1" ht="12.75" customHeight="1" x14ac:dyDescent="0.2">
      <c r="A23" s="198"/>
      <c r="B23" s="199"/>
      <c r="C23" s="228"/>
      <c r="D23" s="279" t="s">
        <v>337</v>
      </c>
      <c r="E23" s="200"/>
      <c r="F23" s="343">
        <v>-90</v>
      </c>
      <c r="G23" s="200"/>
      <c r="H23" s="259"/>
      <c r="I23" s="659"/>
    </row>
    <row r="24" spans="1:9" s="260" customFormat="1" ht="12.75" hidden="1" customHeight="1" x14ac:dyDescent="0.2">
      <c r="A24" s="198"/>
      <c r="B24" s="199"/>
      <c r="C24" s="393" t="s">
        <v>369</v>
      </c>
      <c r="D24" s="315" t="s">
        <v>356</v>
      </c>
      <c r="E24" s="200"/>
      <c r="F24" s="343"/>
      <c r="G24" s="200"/>
      <c r="H24" s="259"/>
      <c r="I24" s="659"/>
    </row>
    <row r="25" spans="1:9" s="260" customFormat="1" ht="12.75" hidden="1" customHeight="1" x14ac:dyDescent="0.2">
      <c r="A25" s="198"/>
      <c r="B25" s="199"/>
      <c r="C25" s="228"/>
      <c r="D25" s="315" t="s">
        <v>358</v>
      </c>
      <c r="E25" s="200"/>
      <c r="F25" s="343"/>
      <c r="G25" s="200"/>
      <c r="H25" s="259"/>
      <c r="I25" s="660"/>
    </row>
    <row r="26" spans="1:9" s="260" customFormat="1" ht="12.75" hidden="1" customHeight="1" x14ac:dyDescent="0.2">
      <c r="A26" s="198"/>
      <c r="B26" s="199"/>
      <c r="C26" s="228"/>
      <c r="D26" s="315"/>
      <c r="E26" s="200"/>
      <c r="F26" s="343"/>
      <c r="G26" s="200"/>
      <c r="H26" s="259"/>
      <c r="I26" s="660"/>
    </row>
    <row r="27" spans="1:9" s="260" customFormat="1" ht="12.75" hidden="1" customHeight="1" x14ac:dyDescent="0.2">
      <c r="A27" s="198"/>
      <c r="B27" s="199"/>
      <c r="C27" s="228"/>
      <c r="D27" s="315"/>
      <c r="E27" s="200"/>
      <c r="F27" s="343"/>
      <c r="G27" s="200"/>
      <c r="H27" s="259"/>
      <c r="I27" s="660"/>
    </row>
    <row r="28" spans="1:9" s="260" customFormat="1" ht="12.75" hidden="1" customHeight="1" x14ac:dyDescent="0.2">
      <c r="A28" s="198"/>
      <c r="B28" s="199"/>
      <c r="C28" s="228"/>
      <c r="D28" s="315" t="s">
        <v>366</v>
      </c>
      <c r="E28" s="200"/>
      <c r="F28" s="343"/>
      <c r="G28" s="200"/>
      <c r="H28" s="259"/>
      <c r="I28" s="661"/>
    </row>
    <row r="29" spans="1:9" s="260" customFormat="1" ht="12.75" hidden="1" customHeight="1" x14ac:dyDescent="0.2">
      <c r="A29" s="198"/>
      <c r="B29" s="199"/>
      <c r="C29" s="228"/>
      <c r="D29" s="315" t="s">
        <v>367</v>
      </c>
      <c r="E29" s="200"/>
      <c r="F29" s="343"/>
      <c r="G29" s="200"/>
      <c r="H29" s="259"/>
      <c r="I29" s="658"/>
    </row>
    <row r="30" spans="1:9" s="260" customFormat="1" ht="12.75" hidden="1" customHeight="1" x14ac:dyDescent="0.2">
      <c r="A30" s="198"/>
      <c r="B30" s="199"/>
      <c r="C30" s="228"/>
      <c r="D30" s="315" t="s">
        <v>368</v>
      </c>
      <c r="E30" s="200"/>
      <c r="F30" s="343"/>
      <c r="G30" s="200"/>
      <c r="H30" s="259"/>
      <c r="I30" s="661"/>
    </row>
    <row r="31" spans="1:9" s="260" customFormat="1" ht="12.75" hidden="1" customHeight="1" x14ac:dyDescent="0.2">
      <c r="A31" s="198"/>
      <c r="B31" s="199"/>
      <c r="C31" s="228"/>
      <c r="D31" s="315" t="s">
        <v>370</v>
      </c>
      <c r="E31" s="200"/>
      <c r="F31" s="343"/>
      <c r="G31" s="200"/>
      <c r="H31" s="259"/>
      <c r="I31" s="658"/>
    </row>
    <row r="32" spans="1:9" s="260" customFormat="1" ht="12.75" hidden="1" customHeight="1" x14ac:dyDescent="0.2">
      <c r="A32" s="198"/>
      <c r="B32" s="199"/>
      <c r="C32" s="228"/>
      <c r="D32" s="315" t="s">
        <v>345</v>
      </c>
      <c r="E32" s="200"/>
      <c r="F32" s="343"/>
      <c r="G32" s="200"/>
      <c r="H32" s="259"/>
      <c r="I32" s="662"/>
    </row>
    <row r="33" spans="1:12" s="260" customFormat="1" ht="12.75" hidden="1" customHeight="1" x14ac:dyDescent="0.2">
      <c r="A33" s="198"/>
      <c r="B33" s="199"/>
      <c r="C33" s="228"/>
      <c r="D33" s="315" t="s">
        <v>530</v>
      </c>
      <c r="E33" s="200"/>
      <c r="F33" s="343"/>
      <c r="G33" s="200"/>
      <c r="H33" s="259"/>
      <c r="I33" s="335"/>
    </row>
    <row r="34" spans="1:12" s="260" customFormat="1" ht="12.75" customHeight="1" x14ac:dyDescent="0.2">
      <c r="A34" s="194">
        <f>1+A12</f>
        <v>4</v>
      </c>
      <c r="B34" s="195" t="s">
        <v>159</v>
      </c>
      <c r="C34" s="218" t="s">
        <v>192</v>
      </c>
      <c r="D34" s="513" t="str">
        <f>$D$12</f>
        <v>FTE December 2024</v>
      </c>
      <c r="E34" s="197">
        <f>'1571'!I$145</f>
        <v>824241.24</v>
      </c>
      <c r="F34" s="344"/>
      <c r="G34" s="197">
        <f>SUBTOTAL(109,E34:F49)</f>
        <v>825801.57</v>
      </c>
      <c r="H34" s="259"/>
      <c r="I34" s="338"/>
    </row>
    <row r="35" spans="1:12" s="260" customFormat="1" ht="12.75" customHeight="1" x14ac:dyDescent="0.2">
      <c r="A35" s="194"/>
      <c r="B35" s="195"/>
      <c r="C35" s="382"/>
      <c r="D35" s="231" t="s">
        <v>278</v>
      </c>
      <c r="E35" s="197"/>
      <c r="F35" s="344">
        <v>13200.45</v>
      </c>
      <c r="G35" s="197"/>
      <c r="H35" s="259"/>
      <c r="I35" s="338"/>
    </row>
    <row r="36" spans="1:12" s="260" customFormat="1" ht="12.75" hidden="1" customHeight="1" x14ac:dyDescent="0.2">
      <c r="A36" s="194"/>
      <c r="B36" s="195"/>
      <c r="C36" s="218"/>
      <c r="D36" s="354" t="s">
        <v>491</v>
      </c>
      <c r="E36" s="197"/>
      <c r="F36" s="344"/>
      <c r="G36" s="197"/>
      <c r="H36" s="259"/>
      <c r="I36" s="338"/>
    </row>
    <row r="37" spans="1:12" s="260" customFormat="1" ht="12.75" hidden="1" customHeight="1" x14ac:dyDescent="0.2">
      <c r="A37" s="194"/>
      <c r="B37" s="195"/>
      <c r="C37" s="240"/>
      <c r="D37" s="354" t="s">
        <v>361</v>
      </c>
      <c r="E37" s="197"/>
      <c r="F37" s="344"/>
      <c r="G37" s="197"/>
      <c r="H37" s="259"/>
      <c r="I37" s="338"/>
    </row>
    <row r="38" spans="1:12" s="260" customFormat="1" ht="12.75" hidden="1" customHeight="1" x14ac:dyDescent="0.2">
      <c r="A38" s="194"/>
      <c r="B38" s="195"/>
      <c r="C38" s="218"/>
      <c r="D38" s="231" t="s">
        <v>280</v>
      </c>
      <c r="E38" s="197"/>
      <c r="F38" s="344"/>
      <c r="G38" s="197"/>
      <c r="H38" s="259"/>
      <c r="I38" s="338"/>
      <c r="L38" s="334">
        <v>44630</v>
      </c>
    </row>
    <row r="39" spans="1:12" s="260" customFormat="1" ht="12.75" hidden="1" customHeight="1" x14ac:dyDescent="0.2">
      <c r="A39" s="194"/>
      <c r="B39" s="195"/>
      <c r="C39" s="218"/>
      <c r="D39" s="231" t="s">
        <v>279</v>
      </c>
      <c r="E39" s="197"/>
      <c r="F39" s="344"/>
      <c r="G39" s="197"/>
      <c r="H39" s="259"/>
      <c r="I39" s="338"/>
      <c r="L39" s="334">
        <f>L38-60</f>
        <v>44570</v>
      </c>
    </row>
    <row r="40" spans="1:12" s="260" customFormat="1" ht="12.75" hidden="1" customHeight="1" x14ac:dyDescent="0.2">
      <c r="A40" s="194"/>
      <c r="B40" s="195"/>
      <c r="C40" s="218"/>
      <c r="D40" s="231" t="s">
        <v>288</v>
      </c>
      <c r="E40" s="197"/>
      <c r="F40" s="344"/>
      <c r="G40" s="197"/>
      <c r="H40" s="259"/>
      <c r="I40" s="338"/>
    </row>
    <row r="41" spans="1:12" s="260" customFormat="1" ht="12.75" hidden="1" customHeight="1" x14ac:dyDescent="0.2">
      <c r="A41" s="194"/>
      <c r="B41" s="195"/>
      <c r="C41" s="218"/>
      <c r="D41" s="231" t="s">
        <v>257</v>
      </c>
      <c r="E41" s="197"/>
      <c r="F41" s="344"/>
      <c r="G41" s="197"/>
      <c r="H41" s="259"/>
      <c r="I41" s="338"/>
    </row>
    <row r="42" spans="1:12" s="260" customFormat="1" ht="12.75" customHeight="1" x14ac:dyDescent="0.2">
      <c r="A42" s="194"/>
      <c r="B42" s="195"/>
      <c r="C42" s="230"/>
      <c r="D42" s="276" t="s">
        <v>229</v>
      </c>
      <c r="E42" s="197"/>
      <c r="F42" s="344">
        <v>-11300</v>
      </c>
      <c r="G42" s="197"/>
      <c r="H42" s="259"/>
      <c r="I42" s="338"/>
    </row>
    <row r="43" spans="1:12" s="260" customFormat="1" ht="12.75" customHeight="1" x14ac:dyDescent="0.2">
      <c r="A43" s="194"/>
      <c r="B43" s="195"/>
      <c r="C43" s="230"/>
      <c r="D43" s="276" t="s">
        <v>230</v>
      </c>
      <c r="E43" s="197"/>
      <c r="F43" s="344">
        <v>-155.63999999999999</v>
      </c>
      <c r="G43" s="197"/>
      <c r="H43" s="259"/>
      <c r="I43" s="335"/>
    </row>
    <row r="44" spans="1:12" s="260" customFormat="1" ht="12.75" customHeight="1" x14ac:dyDescent="0.2">
      <c r="A44" s="194"/>
      <c r="B44" s="195"/>
      <c r="C44" s="230"/>
      <c r="D44" s="276" t="s">
        <v>452</v>
      </c>
      <c r="E44" s="197"/>
      <c r="F44" s="344">
        <v>-94.48</v>
      </c>
      <c r="G44" s="197"/>
      <c r="H44" s="259"/>
      <c r="I44" s="335"/>
    </row>
    <row r="45" spans="1:12" s="260" customFormat="1" ht="12.75" customHeight="1" x14ac:dyDescent="0.2">
      <c r="A45" s="194"/>
      <c r="B45" s="195"/>
      <c r="C45" s="230"/>
      <c r="D45" s="276" t="s">
        <v>337</v>
      </c>
      <c r="E45" s="197"/>
      <c r="F45" s="344">
        <v>-90</v>
      </c>
      <c r="G45" s="197"/>
      <c r="H45" s="259"/>
      <c r="I45" s="335"/>
    </row>
    <row r="46" spans="1:12" s="260" customFormat="1" ht="12.75" hidden="1" customHeight="1" x14ac:dyDescent="0.2">
      <c r="A46" s="194"/>
      <c r="B46" s="195"/>
      <c r="C46" s="394"/>
      <c r="D46" s="568" t="s">
        <v>530</v>
      </c>
      <c r="E46" s="197"/>
      <c r="F46" s="344"/>
      <c r="G46" s="197"/>
      <c r="H46" s="296"/>
      <c r="I46" s="335"/>
    </row>
    <row r="47" spans="1:12" s="260" customFormat="1" ht="12.75" hidden="1" customHeight="1" x14ac:dyDescent="0.2">
      <c r="A47" s="194"/>
      <c r="B47" s="195"/>
      <c r="C47" s="230"/>
      <c r="D47" s="355" t="s">
        <v>358</v>
      </c>
      <c r="E47" s="197"/>
      <c r="F47" s="344"/>
      <c r="G47" s="197"/>
      <c r="H47" s="259"/>
      <c r="I47" s="335"/>
    </row>
    <row r="48" spans="1:12" s="260" customFormat="1" ht="12.75" hidden="1" customHeight="1" x14ac:dyDescent="0.2">
      <c r="A48" s="194"/>
      <c r="B48" s="195"/>
      <c r="C48" s="230"/>
      <c r="D48" s="276" t="s">
        <v>550</v>
      </c>
      <c r="E48" s="197"/>
      <c r="F48" s="344"/>
      <c r="G48" s="197"/>
      <c r="H48" s="259"/>
      <c r="I48" s="335"/>
    </row>
    <row r="49" spans="1:13" s="260" customFormat="1" ht="12.75" hidden="1" customHeight="1" x14ac:dyDescent="0.2">
      <c r="A49" s="194"/>
      <c r="B49" s="195"/>
      <c r="C49" s="230"/>
      <c r="D49" s="456" t="s">
        <v>490</v>
      </c>
      <c r="E49" s="197"/>
      <c r="F49" s="344"/>
      <c r="G49" s="197"/>
      <c r="H49" s="259"/>
      <c r="I49" s="335"/>
    </row>
    <row r="50" spans="1:13" s="260" customFormat="1" ht="12.75" customHeight="1" x14ac:dyDescent="0.2">
      <c r="A50" s="198">
        <f>1+A34</f>
        <v>5</v>
      </c>
      <c r="B50" s="199" t="s">
        <v>160</v>
      </c>
      <c r="C50" s="219" t="s">
        <v>193</v>
      </c>
      <c r="D50" s="277" t="str">
        <f>$D$12</f>
        <v>FTE December 2024</v>
      </c>
      <c r="E50" s="200">
        <f>'2521'!I$145</f>
        <v>122776.57</v>
      </c>
      <c r="F50" s="343"/>
      <c r="G50" s="200">
        <f>SUBTOTAL(109,E50:F56)</f>
        <v>130624.53000000001</v>
      </c>
      <c r="H50" s="259"/>
      <c r="I50" s="335"/>
    </row>
    <row r="51" spans="1:13" s="260" customFormat="1" ht="12.75" customHeight="1" x14ac:dyDescent="0.2">
      <c r="A51" s="198"/>
      <c r="B51" s="199"/>
      <c r="C51" s="219"/>
      <c r="D51" s="232" t="s">
        <v>278</v>
      </c>
      <c r="E51" s="200"/>
      <c r="F51" s="343">
        <v>7847.96</v>
      </c>
      <c r="G51" s="200"/>
      <c r="H51" s="259"/>
      <c r="I51" s="335"/>
    </row>
    <row r="52" spans="1:13" s="260" customFormat="1" ht="12.75" hidden="1" customHeight="1" x14ac:dyDescent="0.2">
      <c r="A52" s="198"/>
      <c r="B52" s="199"/>
      <c r="C52" s="219"/>
      <c r="D52" s="232" t="s">
        <v>280</v>
      </c>
      <c r="E52" s="200"/>
      <c r="F52" s="343"/>
      <c r="G52" s="200"/>
      <c r="H52" s="259"/>
      <c r="I52" s="335"/>
    </row>
    <row r="53" spans="1:13" s="260" customFormat="1" ht="12.75" hidden="1" customHeight="1" x14ac:dyDescent="0.2">
      <c r="A53" s="198"/>
      <c r="B53" s="199"/>
      <c r="C53" s="219"/>
      <c r="D53" s="232" t="s">
        <v>279</v>
      </c>
      <c r="E53" s="200"/>
      <c r="F53" s="343"/>
      <c r="G53" s="200"/>
      <c r="H53" s="259"/>
      <c r="I53" s="335"/>
    </row>
    <row r="54" spans="1:13" s="260" customFormat="1" ht="12.75" hidden="1" customHeight="1" x14ac:dyDescent="0.2">
      <c r="A54" s="198"/>
      <c r="B54" s="199"/>
      <c r="C54" s="219"/>
      <c r="D54" s="232" t="s">
        <v>288</v>
      </c>
      <c r="E54" s="200"/>
      <c r="F54" s="343"/>
      <c r="G54" s="200"/>
      <c r="H54" s="259"/>
      <c r="I54" s="335"/>
      <c r="M54" s="334"/>
    </row>
    <row r="55" spans="1:13" ht="12.75" hidden="1" customHeight="1" x14ac:dyDescent="0.2">
      <c r="A55" s="198"/>
      <c r="B55" s="199"/>
      <c r="C55" s="219"/>
      <c r="D55" s="232" t="s">
        <v>257</v>
      </c>
      <c r="E55" s="200"/>
      <c r="F55" s="343"/>
      <c r="G55" s="200"/>
      <c r="I55" s="335"/>
      <c r="M55" s="295"/>
    </row>
    <row r="56" spans="1:13" ht="12.75" hidden="1" customHeight="1" x14ac:dyDescent="0.2">
      <c r="A56" s="198"/>
      <c r="B56" s="199"/>
      <c r="C56" s="219"/>
      <c r="D56" s="315" t="s">
        <v>345</v>
      </c>
      <c r="E56" s="200"/>
      <c r="F56" s="343"/>
      <c r="G56" s="200"/>
      <c r="I56" s="335"/>
      <c r="L56" s="295"/>
    </row>
    <row r="57" spans="1:13" s="260" customFormat="1" ht="12.75" customHeight="1" x14ac:dyDescent="0.2">
      <c r="A57" s="194">
        <f>1+A50</f>
        <v>6</v>
      </c>
      <c r="B57" s="195">
        <v>2531</v>
      </c>
      <c r="C57" s="218" t="s">
        <v>551</v>
      </c>
      <c r="D57" s="513" t="str">
        <f>$D$12</f>
        <v>FTE December 2024</v>
      </c>
      <c r="E57" s="197">
        <f>'2531'!I145</f>
        <v>141539.98000000001</v>
      </c>
      <c r="F57" s="344"/>
      <c r="G57" s="197">
        <f>SUBTOTAL(109,E57:F68)</f>
        <v>141291.04</v>
      </c>
      <c r="H57" s="296"/>
      <c r="I57" s="335"/>
    </row>
    <row r="58" spans="1:13" ht="12.75" customHeight="1" x14ac:dyDescent="0.2">
      <c r="A58" s="194"/>
      <c r="B58" s="195"/>
      <c r="C58" s="218"/>
      <c r="D58" s="231" t="s">
        <v>554</v>
      </c>
      <c r="E58" s="197"/>
      <c r="F58" s="344">
        <v>188.55</v>
      </c>
      <c r="G58" s="197"/>
      <c r="I58" s="335"/>
    </row>
    <row r="59" spans="1:13" ht="12.75" customHeight="1" x14ac:dyDescent="0.2">
      <c r="A59" s="194"/>
      <c r="B59" s="195"/>
      <c r="C59" s="218"/>
      <c r="D59" s="231" t="s">
        <v>278</v>
      </c>
      <c r="E59" s="197"/>
      <c r="F59" s="344">
        <v>-437.49</v>
      </c>
      <c r="G59" s="197"/>
      <c r="I59" s="335"/>
    </row>
    <row r="60" spans="1:13" s="260" customFormat="1" ht="12.75" hidden="1" customHeight="1" x14ac:dyDescent="0.2">
      <c r="A60" s="194"/>
      <c r="B60" s="195"/>
      <c r="C60" s="218"/>
      <c r="D60" s="231" t="s">
        <v>363</v>
      </c>
      <c r="E60" s="197"/>
      <c r="F60" s="344"/>
      <c r="G60" s="197"/>
      <c r="H60" s="259"/>
      <c r="I60" s="306"/>
    </row>
    <row r="61" spans="1:13" s="260" customFormat="1" ht="12.75" hidden="1" customHeight="1" x14ac:dyDescent="0.2">
      <c r="A61" s="194"/>
      <c r="B61" s="195"/>
      <c r="C61" s="218"/>
      <c r="D61" s="354" t="s">
        <v>361</v>
      </c>
      <c r="E61" s="197"/>
      <c r="F61" s="344"/>
      <c r="G61" s="197"/>
      <c r="H61" s="259"/>
      <c r="I61" s="195"/>
    </row>
    <row r="62" spans="1:13" s="260" customFormat="1" ht="12.75" hidden="1" customHeight="1" x14ac:dyDescent="0.2">
      <c r="A62" s="194"/>
      <c r="B62" s="195"/>
      <c r="C62" s="218"/>
      <c r="D62" s="231" t="s">
        <v>280</v>
      </c>
      <c r="E62" s="197"/>
      <c r="F62" s="344"/>
      <c r="G62" s="197"/>
      <c r="H62" s="259"/>
      <c r="I62" s="195"/>
    </row>
    <row r="63" spans="1:13" s="260" customFormat="1" ht="12.75" hidden="1" customHeight="1" x14ac:dyDescent="0.2">
      <c r="A63" s="194"/>
      <c r="B63" s="195"/>
      <c r="C63" s="218"/>
      <c r="D63" s="231" t="s">
        <v>279</v>
      </c>
      <c r="E63" s="197"/>
      <c r="F63" s="344"/>
      <c r="G63" s="197"/>
      <c r="H63" s="259"/>
      <c r="I63" s="195"/>
    </row>
    <row r="64" spans="1:13" s="260" customFormat="1" ht="12.75" hidden="1" customHeight="1" x14ac:dyDescent="0.2">
      <c r="A64" s="194"/>
      <c r="B64" s="195"/>
      <c r="C64" s="218"/>
      <c r="D64" s="231" t="s">
        <v>288</v>
      </c>
      <c r="E64" s="197"/>
      <c r="F64" s="344"/>
      <c r="G64" s="197"/>
      <c r="H64" s="296"/>
      <c r="I64" s="306"/>
    </row>
    <row r="65" spans="1:9" s="260" customFormat="1" ht="12.75" hidden="1" customHeight="1" x14ac:dyDescent="0.2">
      <c r="A65" s="194"/>
      <c r="B65" s="195"/>
      <c r="C65" s="218"/>
      <c r="D65" s="231" t="s">
        <v>257</v>
      </c>
      <c r="E65" s="197"/>
      <c r="F65" s="344"/>
      <c r="G65" s="197"/>
      <c r="H65" s="259"/>
      <c r="I65" s="306"/>
    </row>
    <row r="66" spans="1:9" s="260" customFormat="1" ht="12.75" hidden="1" customHeight="1" x14ac:dyDescent="0.2">
      <c r="A66" s="194"/>
      <c r="B66" s="195"/>
      <c r="C66" s="218"/>
      <c r="D66" s="231" t="s">
        <v>344</v>
      </c>
      <c r="E66" s="197"/>
      <c r="F66" s="344"/>
      <c r="G66" s="197"/>
      <c r="H66" s="259"/>
      <c r="I66" s="306"/>
    </row>
    <row r="67" spans="1:9" s="260" customFormat="1" ht="12.75" hidden="1" customHeight="1" x14ac:dyDescent="0.2">
      <c r="A67" s="194"/>
      <c r="B67" s="195"/>
      <c r="C67" s="230"/>
      <c r="D67" s="355" t="s">
        <v>358</v>
      </c>
      <c r="E67" s="197"/>
      <c r="F67" s="344"/>
      <c r="G67" s="197"/>
      <c r="H67" s="259"/>
      <c r="I67" s="335"/>
    </row>
    <row r="68" spans="1:9" s="260" customFormat="1" ht="12.75" hidden="1" customHeight="1" x14ac:dyDescent="0.2">
      <c r="A68" s="194"/>
      <c r="B68" s="195"/>
      <c r="C68" s="218"/>
      <c r="D68" s="276" t="s">
        <v>345</v>
      </c>
      <c r="E68" s="197"/>
      <c r="F68" s="344"/>
      <c r="G68" s="197"/>
      <c r="H68" s="259"/>
      <c r="I68" s="230"/>
    </row>
    <row r="69" spans="1:9" s="260" customFormat="1" ht="12.75" customHeight="1" x14ac:dyDescent="0.2">
      <c r="A69" s="198">
        <f>1+A57</f>
        <v>7</v>
      </c>
      <c r="B69" s="199" t="s">
        <v>162</v>
      </c>
      <c r="C69" s="262" t="s">
        <v>255</v>
      </c>
      <c r="D69" s="277" t="str">
        <f>$D$12</f>
        <v>FTE December 2024</v>
      </c>
      <c r="E69" s="200">
        <f>'2791'!I$145</f>
        <v>493269.72</v>
      </c>
      <c r="F69" s="343"/>
      <c r="G69" s="200">
        <f>SUBTOTAL(109,E69:F76)</f>
        <v>501344.31</v>
      </c>
      <c r="H69" s="296"/>
      <c r="I69" s="338"/>
    </row>
    <row r="70" spans="1:9" s="260" customFormat="1" ht="12.75" customHeight="1" x14ac:dyDescent="0.2">
      <c r="A70" s="198"/>
      <c r="B70" s="199"/>
      <c r="C70" s="219"/>
      <c r="D70" s="232" t="s">
        <v>278</v>
      </c>
      <c r="E70" s="200"/>
      <c r="F70" s="343">
        <v>8074.59</v>
      </c>
      <c r="G70" s="200"/>
      <c r="H70" s="259"/>
      <c r="I70" s="230"/>
    </row>
    <row r="71" spans="1:9" s="260" customFormat="1" ht="12.75" hidden="1" customHeight="1" x14ac:dyDescent="0.2">
      <c r="A71" s="198"/>
      <c r="B71" s="199"/>
      <c r="C71" s="219"/>
      <c r="D71" s="391" t="s">
        <v>491</v>
      </c>
      <c r="E71" s="200"/>
      <c r="F71" s="343"/>
      <c r="G71" s="200"/>
      <c r="H71" s="259"/>
      <c r="I71" s="230"/>
    </row>
    <row r="72" spans="1:9" s="260" customFormat="1" ht="12.75" hidden="1" customHeight="1" x14ac:dyDescent="0.2">
      <c r="A72" s="198"/>
      <c r="B72" s="199"/>
      <c r="C72" s="219"/>
      <c r="D72" s="232" t="s">
        <v>280</v>
      </c>
      <c r="E72" s="200"/>
      <c r="F72" s="343"/>
      <c r="G72" s="200"/>
      <c r="H72" s="259"/>
      <c r="I72" s="230"/>
    </row>
    <row r="73" spans="1:9" s="260" customFormat="1" ht="12.75" hidden="1" customHeight="1" x14ac:dyDescent="0.2">
      <c r="A73" s="198"/>
      <c r="B73" s="199"/>
      <c r="C73" s="219"/>
      <c r="D73" s="232" t="s">
        <v>279</v>
      </c>
      <c r="E73" s="200"/>
      <c r="F73" s="343"/>
      <c r="G73" s="200"/>
      <c r="H73" s="259"/>
      <c r="I73" s="230"/>
    </row>
    <row r="74" spans="1:9" s="260" customFormat="1" ht="12.75" hidden="1" customHeight="1" x14ac:dyDescent="0.2">
      <c r="A74" s="198"/>
      <c r="B74" s="199"/>
      <c r="C74" s="219"/>
      <c r="D74" s="232" t="s">
        <v>288</v>
      </c>
      <c r="E74" s="200"/>
      <c r="F74" s="343"/>
      <c r="G74" s="200"/>
      <c r="H74" s="259"/>
      <c r="I74" s="335"/>
    </row>
    <row r="75" spans="1:9" s="260" customFormat="1" ht="12.75" hidden="1" customHeight="1" x14ac:dyDescent="0.2">
      <c r="A75" s="198"/>
      <c r="B75" s="199"/>
      <c r="C75" s="219"/>
      <c r="D75" s="232" t="s">
        <v>257</v>
      </c>
      <c r="E75" s="200"/>
      <c r="F75" s="343"/>
      <c r="G75" s="200"/>
      <c r="H75" s="259"/>
      <c r="I75" s="335"/>
    </row>
    <row r="76" spans="1:9" s="260" customFormat="1" ht="12.75" hidden="1" customHeight="1" x14ac:dyDescent="0.2">
      <c r="A76" s="198"/>
      <c r="B76" s="199"/>
      <c r="C76" s="219"/>
      <c r="D76" s="315" t="s">
        <v>345</v>
      </c>
      <c r="E76" s="200"/>
      <c r="F76" s="343"/>
      <c r="G76" s="200"/>
      <c r="H76" s="259"/>
      <c r="I76" s="335"/>
    </row>
    <row r="77" spans="1:9" s="260" customFormat="1" ht="12.75" customHeight="1" x14ac:dyDescent="0.2">
      <c r="A77" s="194">
        <f>A69+1</f>
        <v>8</v>
      </c>
      <c r="B77" s="195" t="s">
        <v>163</v>
      </c>
      <c r="C77" s="261" t="s">
        <v>377</v>
      </c>
      <c r="D77" s="513" t="str">
        <f>$D$12</f>
        <v>FTE December 2024</v>
      </c>
      <c r="E77" s="197">
        <f>'2801'!I$145</f>
        <v>430636.58</v>
      </c>
      <c r="F77" s="344"/>
      <c r="G77" s="197">
        <f>SUBTOTAL(109,E77:F86)</f>
        <v>423857.74</v>
      </c>
      <c r="H77" s="296"/>
      <c r="I77" s="338"/>
    </row>
    <row r="78" spans="1:9" s="260" customFormat="1" ht="12.75" customHeight="1" x14ac:dyDescent="0.2">
      <c r="A78" s="194"/>
      <c r="B78" s="195"/>
      <c r="C78" s="218"/>
      <c r="D78" s="231" t="s">
        <v>554</v>
      </c>
      <c r="E78" s="197"/>
      <c r="F78" s="344">
        <v>-6778.84</v>
      </c>
      <c r="G78" s="197"/>
      <c r="H78" s="259"/>
      <c r="I78" s="335"/>
    </row>
    <row r="79" spans="1:9" s="260" customFormat="1" ht="12.75" hidden="1" customHeight="1" x14ac:dyDescent="0.2">
      <c r="A79" s="194"/>
      <c r="B79" s="195"/>
      <c r="C79" s="218"/>
      <c r="D79" s="354" t="s">
        <v>491</v>
      </c>
      <c r="E79" s="197"/>
      <c r="F79" s="344"/>
      <c r="G79" s="197"/>
      <c r="H79" s="296"/>
      <c r="I79" s="306"/>
    </row>
    <row r="80" spans="1:9" s="260" customFormat="1" ht="12.75" hidden="1" customHeight="1" x14ac:dyDescent="0.2">
      <c r="A80" s="194"/>
      <c r="B80" s="195"/>
      <c r="C80" s="218"/>
      <c r="D80" s="231" t="s">
        <v>280</v>
      </c>
      <c r="E80" s="197"/>
      <c r="F80" s="344"/>
      <c r="G80" s="197"/>
      <c r="H80" s="296"/>
      <c r="I80" s="195"/>
    </row>
    <row r="81" spans="1:9" s="260" customFormat="1" ht="12.75" hidden="1" customHeight="1" x14ac:dyDescent="0.2">
      <c r="A81" s="194"/>
      <c r="B81" s="195"/>
      <c r="C81" s="218"/>
      <c r="D81" s="231" t="s">
        <v>354</v>
      </c>
      <c r="E81" s="197"/>
      <c r="F81" s="344"/>
      <c r="G81" s="197"/>
      <c r="H81" s="259"/>
      <c r="I81" s="230"/>
    </row>
    <row r="82" spans="1:9" s="260" customFormat="1" ht="12.75" hidden="1" customHeight="1" x14ac:dyDescent="0.2">
      <c r="A82" s="194"/>
      <c r="B82" s="195"/>
      <c r="C82" s="218"/>
      <c r="D82" s="231" t="s">
        <v>288</v>
      </c>
      <c r="E82" s="197"/>
      <c r="F82" s="344"/>
      <c r="G82" s="197"/>
      <c r="H82" s="296"/>
      <c r="I82" s="195"/>
    </row>
    <row r="83" spans="1:9" s="260" customFormat="1" ht="12.75" hidden="1" customHeight="1" x14ac:dyDescent="0.2">
      <c r="A83" s="194"/>
      <c r="B83" s="195"/>
      <c r="C83" s="218"/>
      <c r="D83" s="231" t="s">
        <v>257</v>
      </c>
      <c r="E83" s="197"/>
      <c r="F83" s="344"/>
      <c r="G83" s="197"/>
      <c r="H83" s="296"/>
      <c r="I83" s="195"/>
    </row>
    <row r="84" spans="1:9" s="260" customFormat="1" ht="12.75" hidden="1" customHeight="1" x14ac:dyDescent="0.2">
      <c r="A84" s="194"/>
      <c r="B84" s="195"/>
      <c r="C84" s="218"/>
      <c r="D84" s="231" t="s">
        <v>302</v>
      </c>
      <c r="E84" s="197"/>
      <c r="F84" s="344"/>
      <c r="G84" s="197"/>
      <c r="H84" s="296"/>
      <c r="I84" s="306"/>
    </row>
    <row r="85" spans="1:9" s="260" customFormat="1" ht="12.75" hidden="1" customHeight="1" x14ac:dyDescent="0.2">
      <c r="A85" s="194"/>
      <c r="B85" s="195"/>
      <c r="C85" s="218"/>
      <c r="D85" s="231" t="s">
        <v>344</v>
      </c>
      <c r="E85" s="197"/>
      <c r="F85" s="344"/>
      <c r="G85" s="197"/>
      <c r="H85" s="259"/>
      <c r="I85" s="306"/>
    </row>
    <row r="86" spans="1:9" s="260" customFormat="1" ht="12.75" hidden="1" customHeight="1" x14ac:dyDescent="0.2">
      <c r="A86" s="194"/>
      <c r="B86" s="195"/>
      <c r="C86" s="218"/>
      <c r="D86" s="276" t="s">
        <v>375</v>
      </c>
      <c r="E86" s="197"/>
      <c r="F86" s="344"/>
      <c r="G86" s="197"/>
      <c r="H86" s="259"/>
      <c r="I86" s="306"/>
    </row>
    <row r="87" spans="1:9" s="260" customFormat="1" ht="12.75" customHeight="1" x14ac:dyDescent="0.2">
      <c r="A87" s="198">
        <f>A77+1</f>
        <v>9</v>
      </c>
      <c r="B87" s="199" t="s">
        <v>164</v>
      </c>
      <c r="C87" s="219" t="s">
        <v>196</v>
      </c>
      <c r="D87" s="277" t="str">
        <f>$D$12</f>
        <v>FTE December 2024</v>
      </c>
      <c r="E87" s="200">
        <f>'2911'!I$145</f>
        <v>542615.68000000005</v>
      </c>
      <c r="F87" s="343"/>
      <c r="G87" s="200">
        <f>SUBTOTAL(109,E87:F97)</f>
        <v>541182.92000000004</v>
      </c>
      <c r="H87" s="296"/>
      <c r="I87" s="195"/>
    </row>
    <row r="88" spans="1:9" s="260" customFormat="1" ht="12.75" customHeight="1" x14ac:dyDescent="0.2">
      <c r="A88" s="198"/>
      <c r="B88" s="199"/>
      <c r="C88" s="219"/>
      <c r="D88" s="232" t="s">
        <v>278</v>
      </c>
      <c r="E88" s="200"/>
      <c r="F88" s="343">
        <v>-1432.76</v>
      </c>
      <c r="G88" s="200"/>
      <c r="H88" s="296"/>
      <c r="I88" s="195"/>
    </row>
    <row r="89" spans="1:9" s="260" customFormat="1" ht="12.75" hidden="1" customHeight="1" x14ac:dyDescent="0.2">
      <c r="A89" s="198"/>
      <c r="B89" s="199"/>
      <c r="C89" s="219"/>
      <c r="D89" s="391" t="s">
        <v>361</v>
      </c>
      <c r="E89" s="200"/>
      <c r="F89" s="343"/>
      <c r="G89" s="200"/>
      <c r="H89" s="259"/>
      <c r="I89" s="230"/>
    </row>
    <row r="90" spans="1:9" s="260" customFormat="1" ht="12.75" hidden="1" customHeight="1" x14ac:dyDescent="0.2">
      <c r="A90" s="198"/>
      <c r="B90" s="199"/>
      <c r="C90" s="219"/>
      <c r="D90" s="232" t="s">
        <v>280</v>
      </c>
      <c r="E90" s="200"/>
      <c r="F90" s="343"/>
      <c r="G90" s="200"/>
      <c r="H90" s="296"/>
      <c r="I90" s="195"/>
    </row>
    <row r="91" spans="1:9" s="260" customFormat="1" ht="12.75" hidden="1" customHeight="1" x14ac:dyDescent="0.2">
      <c r="A91" s="198"/>
      <c r="B91" s="199"/>
      <c r="C91" s="219"/>
      <c r="D91" s="232" t="s">
        <v>279</v>
      </c>
      <c r="E91" s="200"/>
      <c r="F91" s="343"/>
      <c r="G91" s="200"/>
      <c r="H91" s="296"/>
      <c r="I91" s="195"/>
    </row>
    <row r="92" spans="1:9" s="260" customFormat="1" ht="12.75" hidden="1" customHeight="1" x14ac:dyDescent="0.2">
      <c r="A92" s="198"/>
      <c r="B92" s="199"/>
      <c r="C92" s="219"/>
      <c r="D92" s="232" t="s">
        <v>288</v>
      </c>
      <c r="E92" s="200"/>
      <c r="F92" s="343"/>
      <c r="G92" s="200"/>
      <c r="H92" s="296"/>
      <c r="I92" s="195"/>
    </row>
    <row r="93" spans="1:9" s="260" customFormat="1" ht="12.75" hidden="1" customHeight="1" x14ac:dyDescent="0.2">
      <c r="A93" s="198"/>
      <c r="B93" s="199"/>
      <c r="C93" s="219"/>
      <c r="D93" s="232" t="s">
        <v>257</v>
      </c>
      <c r="E93" s="200"/>
      <c r="F93" s="343"/>
      <c r="G93" s="200"/>
      <c r="H93" s="259"/>
      <c r="I93" s="333"/>
    </row>
    <row r="94" spans="1:9" s="260" customFormat="1" ht="12.75" hidden="1" customHeight="1" x14ac:dyDescent="0.2">
      <c r="A94" s="198"/>
      <c r="B94" s="199"/>
      <c r="C94" s="219"/>
      <c r="D94" s="232" t="s">
        <v>302</v>
      </c>
      <c r="E94" s="200"/>
      <c r="F94" s="343"/>
      <c r="G94" s="200"/>
      <c r="H94" s="296"/>
    </row>
    <row r="95" spans="1:9" s="260" customFormat="1" ht="12.75" hidden="1" customHeight="1" x14ac:dyDescent="0.2">
      <c r="A95" s="198"/>
      <c r="B95" s="199"/>
      <c r="C95" s="228"/>
      <c r="D95" s="315" t="s">
        <v>345</v>
      </c>
      <c r="E95" s="200"/>
      <c r="F95" s="343"/>
      <c r="G95" s="200"/>
      <c r="H95" s="296"/>
      <c r="I95" s="195"/>
    </row>
    <row r="96" spans="1:9" s="260" customFormat="1" ht="12.75" hidden="1" customHeight="1" x14ac:dyDescent="0.2">
      <c r="A96" s="198"/>
      <c r="B96" s="199"/>
      <c r="C96" s="228"/>
      <c r="D96" s="315" t="s">
        <v>387</v>
      </c>
      <c r="E96" s="200"/>
      <c r="F96" s="343"/>
      <c r="G96" s="200"/>
      <c r="H96" s="296"/>
      <c r="I96" s="306"/>
    </row>
    <row r="97" spans="1:12" s="260" customFormat="1" ht="12.75" hidden="1" customHeight="1" x14ac:dyDescent="0.2">
      <c r="A97" s="198"/>
      <c r="B97" s="199"/>
      <c r="C97" s="228"/>
      <c r="D97" s="278"/>
      <c r="E97" s="200"/>
      <c r="F97" s="343"/>
      <c r="G97" s="200"/>
      <c r="H97" s="296"/>
      <c r="I97" s="306"/>
    </row>
    <row r="98" spans="1:12" s="260" customFormat="1" ht="12.75" customHeight="1" x14ac:dyDescent="0.2">
      <c r="A98" s="194">
        <f>A87+1</f>
        <v>10</v>
      </c>
      <c r="B98" s="195" t="s">
        <v>165</v>
      </c>
      <c r="C98" s="218" t="s">
        <v>197</v>
      </c>
      <c r="D98" s="513" t="str">
        <f>$D$12</f>
        <v>FTE December 2024</v>
      </c>
      <c r="E98" s="197">
        <f>'2941'!I$145</f>
        <v>864585.46</v>
      </c>
      <c r="F98" s="344"/>
      <c r="G98" s="197">
        <f>SUBTOTAL(109,E98:F106)</f>
        <v>856076.39999999991</v>
      </c>
      <c r="H98" s="296"/>
      <c r="I98" s="195"/>
    </row>
    <row r="99" spans="1:12" s="260" customFormat="1" ht="12.75" customHeight="1" x14ac:dyDescent="0.2">
      <c r="A99" s="194"/>
      <c r="B99" s="195"/>
      <c r="C99" s="218"/>
      <c r="D99" s="231" t="s">
        <v>554</v>
      </c>
      <c r="E99" s="197"/>
      <c r="F99" s="344">
        <v>-8509.06</v>
      </c>
      <c r="G99" s="197"/>
      <c r="H99" s="296"/>
      <c r="I99" s="195"/>
    </row>
    <row r="100" spans="1:12" s="260" customFormat="1" ht="12.75" hidden="1" customHeight="1" x14ac:dyDescent="0.2">
      <c r="A100" s="194"/>
      <c r="B100" s="195"/>
      <c r="C100" s="218"/>
      <c r="D100" s="354" t="s">
        <v>491</v>
      </c>
      <c r="E100" s="197"/>
      <c r="F100" s="344"/>
      <c r="G100" s="197"/>
      <c r="H100" s="259"/>
      <c r="I100" s="230"/>
    </row>
    <row r="101" spans="1:12" s="260" customFormat="1" ht="12.75" hidden="1" customHeight="1" x14ac:dyDescent="0.2">
      <c r="A101" s="194"/>
      <c r="B101" s="195"/>
      <c r="C101" s="218"/>
      <c r="D101" s="231" t="s">
        <v>280</v>
      </c>
      <c r="E101" s="197"/>
      <c r="F101" s="344"/>
      <c r="G101" s="197"/>
      <c r="H101" s="296"/>
      <c r="I101" s="195"/>
    </row>
    <row r="102" spans="1:12" s="260" customFormat="1" ht="12.75" hidden="1" customHeight="1" x14ac:dyDescent="0.2">
      <c r="A102" s="194"/>
      <c r="B102" s="195"/>
      <c r="C102" s="218"/>
      <c r="D102" s="231" t="s">
        <v>279</v>
      </c>
      <c r="E102" s="197"/>
      <c r="F102" s="344"/>
      <c r="G102" s="197"/>
      <c r="H102" s="296"/>
      <c r="I102" s="195"/>
    </row>
    <row r="103" spans="1:12" s="260" customFormat="1" ht="12.75" hidden="1" customHeight="1" x14ac:dyDescent="0.2">
      <c r="A103" s="194"/>
      <c r="B103" s="195"/>
      <c r="C103" s="218"/>
      <c r="D103" s="231" t="s">
        <v>288</v>
      </c>
      <c r="E103" s="197"/>
      <c r="F103" s="344"/>
      <c r="G103" s="197"/>
      <c r="H103" s="296"/>
      <c r="I103" s="195"/>
    </row>
    <row r="104" spans="1:12" s="260" customFormat="1" ht="12.75" hidden="1" customHeight="1" x14ac:dyDescent="0.2">
      <c r="A104" s="194"/>
      <c r="B104" s="195"/>
      <c r="C104" s="218"/>
      <c r="D104" s="231" t="s">
        <v>257</v>
      </c>
      <c r="E104" s="197"/>
      <c r="F104" s="344"/>
      <c r="G104" s="197"/>
      <c r="H104" s="259"/>
      <c r="I104" s="333"/>
    </row>
    <row r="105" spans="1:12" s="260" customFormat="1" ht="12.75" hidden="1" customHeight="1" x14ac:dyDescent="0.2">
      <c r="A105" s="194"/>
      <c r="B105" s="195"/>
      <c r="C105" s="218"/>
      <c r="D105" s="231" t="s">
        <v>344</v>
      </c>
      <c r="E105" s="197"/>
      <c r="F105" s="344"/>
      <c r="G105" s="197"/>
      <c r="H105" s="296"/>
      <c r="I105" s="306"/>
    </row>
    <row r="106" spans="1:12" s="260" customFormat="1" ht="12.75" hidden="1" customHeight="1" x14ac:dyDescent="0.2">
      <c r="A106" s="194"/>
      <c r="B106" s="195"/>
      <c r="C106" s="218"/>
      <c r="D106" s="276" t="s">
        <v>529</v>
      </c>
      <c r="E106" s="197"/>
      <c r="F106" s="344"/>
      <c r="G106" s="197"/>
      <c r="H106" s="259"/>
      <c r="I106" s="306"/>
      <c r="J106" s="355"/>
      <c r="K106" s="197"/>
      <c r="L106" s="240"/>
    </row>
    <row r="107" spans="1:12" s="260" customFormat="1" ht="12.75" customHeight="1" x14ac:dyDescent="0.2">
      <c r="A107" s="198">
        <f>A98+1</f>
        <v>11</v>
      </c>
      <c r="B107" s="199" t="s">
        <v>166</v>
      </c>
      <c r="C107" s="262" t="s">
        <v>336</v>
      </c>
      <c r="D107" s="277" t="str">
        <f>$D$12</f>
        <v>FTE December 2024</v>
      </c>
      <c r="E107" s="200">
        <f>'3083'!I$145</f>
        <v>538568.26</v>
      </c>
      <c r="F107" s="343"/>
      <c r="G107" s="200">
        <f>SUBTOTAL(109,E107:F114)</f>
        <v>531865.78</v>
      </c>
      <c r="H107" s="259"/>
      <c r="I107" s="306"/>
      <c r="J107" s="355"/>
      <c r="K107" s="197"/>
      <c r="L107" s="240"/>
    </row>
    <row r="108" spans="1:12" s="260" customFormat="1" ht="12.75" customHeight="1" x14ac:dyDescent="0.2">
      <c r="A108" s="198"/>
      <c r="B108" s="199"/>
      <c r="C108" s="219"/>
      <c r="D108" s="232" t="s">
        <v>278</v>
      </c>
      <c r="E108" s="200"/>
      <c r="F108" s="343">
        <v>-6702.48</v>
      </c>
      <c r="G108" s="200"/>
      <c r="H108" s="296"/>
      <c r="I108" s="195"/>
    </row>
    <row r="109" spans="1:12" s="260" customFormat="1" ht="12.75" hidden="1" customHeight="1" x14ac:dyDescent="0.2">
      <c r="A109" s="198"/>
      <c r="B109" s="199"/>
      <c r="C109" s="219"/>
      <c r="D109" s="391" t="s">
        <v>491</v>
      </c>
      <c r="E109" s="200"/>
      <c r="F109" s="343"/>
      <c r="G109" s="200"/>
      <c r="H109" s="296"/>
      <c r="I109" s="195"/>
    </row>
    <row r="110" spans="1:12" s="260" customFormat="1" ht="12.75" hidden="1" customHeight="1" x14ac:dyDescent="0.2">
      <c r="A110" s="198"/>
      <c r="B110" s="199"/>
      <c r="C110" s="219"/>
      <c r="D110" s="232" t="s">
        <v>280</v>
      </c>
      <c r="E110" s="200"/>
      <c r="F110" s="343"/>
      <c r="G110" s="200"/>
      <c r="H110" s="259"/>
      <c r="I110" s="230"/>
    </row>
    <row r="111" spans="1:12" s="260" customFormat="1" ht="12.75" hidden="1" customHeight="1" x14ac:dyDescent="0.2">
      <c r="A111" s="198"/>
      <c r="B111" s="199"/>
      <c r="C111" s="219"/>
      <c r="D111" s="232" t="s">
        <v>279</v>
      </c>
      <c r="E111" s="200"/>
      <c r="F111" s="343"/>
      <c r="G111" s="200"/>
      <c r="H111" s="296"/>
      <c r="I111" s="195"/>
    </row>
    <row r="112" spans="1:12" s="260" customFormat="1" ht="12.75" hidden="1" customHeight="1" x14ac:dyDescent="0.2">
      <c r="A112" s="198"/>
      <c r="B112" s="199"/>
      <c r="C112" s="219"/>
      <c r="D112" s="278" t="s">
        <v>288</v>
      </c>
      <c r="E112" s="200"/>
      <c r="F112" s="343"/>
      <c r="G112" s="200"/>
      <c r="H112" s="296"/>
      <c r="I112" s="195"/>
    </row>
    <row r="113" spans="1:9" s="260" customFormat="1" ht="12.75" hidden="1" customHeight="1" x14ac:dyDescent="0.2">
      <c r="A113" s="198"/>
      <c r="B113" s="199"/>
      <c r="C113" s="219"/>
      <c r="D113" s="232" t="s">
        <v>257</v>
      </c>
      <c r="E113" s="200"/>
      <c r="F113" s="343"/>
      <c r="G113" s="200"/>
      <c r="H113" s="296"/>
      <c r="I113" s="195"/>
    </row>
    <row r="114" spans="1:9" s="260" customFormat="1" ht="12.75" hidden="1" customHeight="1" x14ac:dyDescent="0.2">
      <c r="A114" s="198"/>
      <c r="B114" s="199"/>
      <c r="C114" s="219"/>
      <c r="D114" s="278" t="s">
        <v>345</v>
      </c>
      <c r="E114" s="200"/>
      <c r="F114" s="343"/>
      <c r="G114" s="200"/>
      <c r="H114" s="259"/>
      <c r="I114" s="333"/>
    </row>
    <row r="115" spans="1:9" s="260" customFormat="1" ht="12.75" customHeight="1" x14ac:dyDescent="0.2">
      <c r="A115" s="194">
        <f>A107+1</f>
        <v>12</v>
      </c>
      <c r="B115" s="195" t="s">
        <v>167</v>
      </c>
      <c r="C115" s="261" t="s">
        <v>385</v>
      </c>
      <c r="D115" s="513" t="str">
        <f>$D$12</f>
        <v>FTE December 2024</v>
      </c>
      <c r="E115" s="197">
        <f>'3345'!I$145</f>
        <v>98560.43</v>
      </c>
      <c r="F115" s="344"/>
      <c r="G115" s="197">
        <f>SUBTOTAL(109,E115:F121)</f>
        <v>97406.65</v>
      </c>
      <c r="H115" s="259"/>
      <c r="I115" s="333"/>
    </row>
    <row r="116" spans="1:9" s="260" customFormat="1" ht="12.75" customHeight="1" x14ac:dyDescent="0.2">
      <c r="A116" s="194"/>
      <c r="B116" s="195"/>
      <c r="C116" s="261"/>
      <c r="D116" s="231" t="s">
        <v>554</v>
      </c>
      <c r="E116" s="197"/>
      <c r="F116" s="344">
        <v>-1153.78</v>
      </c>
      <c r="G116" s="197"/>
      <c r="H116" s="259"/>
      <c r="I116" s="333"/>
    </row>
    <row r="117" spans="1:9" s="260" customFormat="1" ht="12.75" hidden="1" customHeight="1" x14ac:dyDescent="0.2">
      <c r="A117" s="194"/>
      <c r="B117" s="195"/>
      <c r="C117" s="261"/>
      <c r="D117" s="231" t="s">
        <v>491</v>
      </c>
      <c r="E117" s="197"/>
      <c r="F117" s="344"/>
      <c r="G117" s="197"/>
      <c r="H117" s="296"/>
      <c r="I117" s="195"/>
    </row>
    <row r="118" spans="1:9" s="260" customFormat="1" ht="12.75" hidden="1" customHeight="1" x14ac:dyDescent="0.2">
      <c r="A118" s="194"/>
      <c r="B118" s="195"/>
      <c r="C118" s="218"/>
      <c r="D118" s="231" t="s">
        <v>279</v>
      </c>
      <c r="E118" s="197"/>
      <c r="F118" s="344"/>
      <c r="G118" s="197"/>
      <c r="H118" s="296"/>
      <c r="I118" s="195"/>
    </row>
    <row r="119" spans="1:9" s="260" customFormat="1" ht="12.75" hidden="1" customHeight="1" x14ac:dyDescent="0.2">
      <c r="A119" s="194"/>
      <c r="B119" s="195"/>
      <c r="C119" s="218"/>
      <c r="D119" s="231" t="s">
        <v>288</v>
      </c>
      <c r="E119" s="197"/>
      <c r="F119" s="344"/>
      <c r="G119" s="197"/>
      <c r="H119" s="259"/>
      <c r="I119" s="230"/>
    </row>
    <row r="120" spans="1:9" s="260" customFormat="1" ht="12.75" hidden="1" customHeight="1" x14ac:dyDescent="0.2">
      <c r="A120" s="194"/>
      <c r="B120" s="195"/>
      <c r="C120" s="218"/>
      <c r="D120" s="231" t="s">
        <v>257</v>
      </c>
      <c r="E120" s="197"/>
      <c r="F120" s="344"/>
      <c r="G120" s="197"/>
      <c r="H120" s="296"/>
      <c r="I120" s="195"/>
    </row>
    <row r="121" spans="1:9" s="260" customFormat="1" ht="12.75" hidden="1" customHeight="1" x14ac:dyDescent="0.2">
      <c r="A121" s="194"/>
      <c r="B121" s="195"/>
      <c r="C121" s="218"/>
      <c r="D121" s="276" t="s">
        <v>345</v>
      </c>
      <c r="E121" s="197"/>
      <c r="F121" s="344"/>
      <c r="G121" s="197"/>
      <c r="H121" s="296"/>
      <c r="I121" s="195"/>
    </row>
    <row r="122" spans="1:9" s="260" customFormat="1" ht="12.75" customHeight="1" x14ac:dyDescent="0.2">
      <c r="A122" s="198">
        <f>A115+1</f>
        <v>13</v>
      </c>
      <c r="B122" s="199" t="s">
        <v>168</v>
      </c>
      <c r="C122" s="219" t="s">
        <v>200</v>
      </c>
      <c r="D122" s="277" t="str">
        <f>$D$12</f>
        <v>FTE December 2024</v>
      </c>
      <c r="E122" s="200">
        <f>'3381'!I$145</f>
        <v>752295.59</v>
      </c>
      <c r="F122" s="343"/>
      <c r="G122" s="200">
        <f>SUBTOTAL(109,E122:F130)</f>
        <v>759315.4</v>
      </c>
      <c r="H122" s="296"/>
      <c r="I122" s="195"/>
    </row>
    <row r="123" spans="1:9" s="260" customFormat="1" ht="12.75" customHeight="1" x14ac:dyDescent="0.2">
      <c r="A123" s="198"/>
      <c r="B123" s="199"/>
      <c r="C123" s="219"/>
      <c r="D123" s="232" t="s">
        <v>278</v>
      </c>
      <c r="E123" s="200"/>
      <c r="F123" s="343">
        <v>7019.81</v>
      </c>
      <c r="G123" s="200"/>
      <c r="H123" s="259"/>
      <c r="I123" s="333"/>
    </row>
    <row r="124" spans="1:9" ht="12.75" hidden="1" customHeight="1" x14ac:dyDescent="0.2">
      <c r="A124" s="198"/>
      <c r="B124" s="199"/>
      <c r="C124" s="219"/>
      <c r="D124" s="391" t="s">
        <v>491</v>
      </c>
      <c r="E124" s="200"/>
      <c r="F124" s="343"/>
      <c r="G124" s="200"/>
      <c r="H124" s="297"/>
      <c r="I124" s="195"/>
    </row>
    <row r="125" spans="1:9" s="260" customFormat="1" ht="12.75" hidden="1" customHeight="1" x14ac:dyDescent="0.2">
      <c r="A125" s="198"/>
      <c r="B125" s="199"/>
      <c r="C125" s="219"/>
      <c r="D125" s="232" t="s">
        <v>280</v>
      </c>
      <c r="E125" s="200"/>
      <c r="F125" s="343"/>
      <c r="G125" s="200"/>
      <c r="H125" s="296"/>
      <c r="I125" s="195"/>
    </row>
    <row r="126" spans="1:9" s="260" customFormat="1" ht="12.75" hidden="1" customHeight="1" x14ac:dyDescent="0.2">
      <c r="A126" s="198"/>
      <c r="B126" s="199"/>
      <c r="C126" s="219"/>
      <c r="D126" s="232" t="s">
        <v>279</v>
      </c>
      <c r="E126" s="200"/>
      <c r="F126" s="343"/>
      <c r="G126" s="200"/>
      <c r="H126" s="296"/>
      <c r="I126" s="195"/>
    </row>
    <row r="127" spans="1:9" s="260" customFormat="1" ht="12.75" hidden="1" customHeight="1" x14ac:dyDescent="0.2">
      <c r="A127" s="198"/>
      <c r="B127" s="199"/>
      <c r="C127" s="219"/>
      <c r="D127" s="232" t="s">
        <v>288</v>
      </c>
      <c r="E127" s="200"/>
      <c r="F127" s="343"/>
      <c r="G127" s="200"/>
      <c r="H127" s="296"/>
      <c r="I127" s="195"/>
    </row>
    <row r="128" spans="1:9" s="260" customFormat="1" ht="12.75" hidden="1" customHeight="1" x14ac:dyDescent="0.2">
      <c r="A128" s="198"/>
      <c r="B128" s="199"/>
      <c r="C128" s="219"/>
      <c r="D128" s="232" t="s">
        <v>257</v>
      </c>
      <c r="E128" s="200"/>
      <c r="F128" s="343"/>
      <c r="G128" s="200"/>
      <c r="H128" s="296"/>
      <c r="I128" s="195"/>
    </row>
    <row r="129" spans="1:16" s="260" customFormat="1" ht="12.75" hidden="1" customHeight="1" x14ac:dyDescent="0.2">
      <c r="A129" s="198"/>
      <c r="B129" s="199"/>
      <c r="C129" s="219"/>
      <c r="D129" s="232" t="s">
        <v>357</v>
      </c>
      <c r="E129" s="200"/>
      <c r="F129" s="343"/>
      <c r="G129" s="200"/>
      <c r="H129" s="296"/>
      <c r="I129" s="195"/>
    </row>
    <row r="130" spans="1:16" s="260" customFormat="1" ht="12.75" hidden="1" customHeight="1" x14ac:dyDescent="0.2">
      <c r="A130" s="198"/>
      <c r="B130" s="199"/>
      <c r="C130" s="219"/>
      <c r="D130" s="278" t="s">
        <v>345</v>
      </c>
      <c r="E130" s="200"/>
      <c r="F130" s="343"/>
      <c r="G130" s="200"/>
      <c r="H130" s="259"/>
      <c r="I130" s="333"/>
    </row>
    <row r="131" spans="1:16" s="260" customFormat="1" ht="12.75" customHeight="1" x14ac:dyDescent="0.2">
      <c r="A131" s="194">
        <f>A122+1</f>
        <v>14</v>
      </c>
      <c r="B131" s="195" t="s">
        <v>169</v>
      </c>
      <c r="C131" s="218" t="s">
        <v>202</v>
      </c>
      <c r="D131" s="513" t="str">
        <f>$D$12</f>
        <v>FTE December 2024</v>
      </c>
      <c r="E131" s="197">
        <f>'3382'!I$145</f>
        <v>207711.94</v>
      </c>
      <c r="F131" s="344"/>
      <c r="G131" s="197">
        <f>SUBTOTAL(109,E131:F139)</f>
        <v>205479.72</v>
      </c>
      <c r="H131" s="259"/>
      <c r="I131" s="333"/>
    </row>
    <row r="132" spans="1:16" s="260" customFormat="1" ht="12.75" customHeight="1" x14ac:dyDescent="0.2">
      <c r="A132" s="194"/>
      <c r="B132" s="195"/>
      <c r="C132" s="218"/>
      <c r="D132" s="231" t="s">
        <v>554</v>
      </c>
      <c r="E132" s="197"/>
      <c r="F132" s="344">
        <v>-2232.2199999999998</v>
      </c>
      <c r="G132" s="197"/>
      <c r="H132" s="296"/>
      <c r="I132" s="195"/>
    </row>
    <row r="133" spans="1:16" s="260" customFormat="1" ht="12.75" hidden="1" customHeight="1" x14ac:dyDescent="0.2">
      <c r="A133" s="194"/>
      <c r="B133" s="195"/>
      <c r="C133" s="218"/>
      <c r="D133" s="354" t="s">
        <v>491</v>
      </c>
      <c r="E133" s="197"/>
      <c r="F133" s="344"/>
      <c r="G133" s="197"/>
      <c r="H133" s="296"/>
      <c r="I133" s="195"/>
    </row>
    <row r="134" spans="1:16" s="260" customFormat="1" ht="12.75" hidden="1" customHeight="1" x14ac:dyDescent="0.2">
      <c r="A134" s="194"/>
      <c r="B134" s="195"/>
      <c r="C134" s="218"/>
      <c r="D134" s="231" t="s">
        <v>280</v>
      </c>
      <c r="E134" s="197"/>
      <c r="F134" s="344"/>
      <c r="G134" s="197"/>
      <c r="H134" s="259"/>
      <c r="I134" s="230"/>
    </row>
    <row r="135" spans="1:16" s="260" customFormat="1" ht="12.75" hidden="1" customHeight="1" x14ac:dyDescent="0.2">
      <c r="A135" s="194"/>
      <c r="B135" s="195"/>
      <c r="C135" s="218"/>
      <c r="D135" s="231" t="s">
        <v>279</v>
      </c>
      <c r="E135" s="197"/>
      <c r="F135" s="344"/>
      <c r="G135" s="197"/>
      <c r="H135" s="296"/>
      <c r="I135" s="195"/>
    </row>
    <row r="136" spans="1:16" s="260" customFormat="1" ht="12.75" hidden="1" customHeight="1" x14ac:dyDescent="0.2">
      <c r="A136" s="194"/>
      <c r="B136" s="195"/>
      <c r="C136" s="218"/>
      <c r="D136" s="231" t="s">
        <v>288</v>
      </c>
      <c r="E136" s="197"/>
      <c r="F136" s="344"/>
      <c r="G136" s="197"/>
      <c r="H136" s="296"/>
      <c r="I136" s="195"/>
    </row>
    <row r="137" spans="1:16" s="260" customFormat="1" ht="12.75" hidden="1" customHeight="1" x14ac:dyDescent="0.2">
      <c r="A137" s="194"/>
      <c r="B137" s="195"/>
      <c r="C137" s="218"/>
      <c r="D137" s="231" t="s">
        <v>257</v>
      </c>
      <c r="E137" s="197"/>
      <c r="F137" s="344"/>
      <c r="G137" s="197"/>
      <c r="H137" s="296"/>
      <c r="I137" s="195"/>
    </row>
    <row r="138" spans="1:16" s="260" customFormat="1" ht="12.75" hidden="1" customHeight="1" x14ac:dyDescent="0.2">
      <c r="A138" s="194"/>
      <c r="B138" s="195"/>
      <c r="C138" s="218"/>
      <c r="D138" s="231" t="s">
        <v>344</v>
      </c>
      <c r="E138" s="197"/>
      <c r="F138" s="344"/>
      <c r="G138" s="197"/>
      <c r="H138" s="259"/>
      <c r="I138" s="333"/>
    </row>
    <row r="139" spans="1:16" s="260" customFormat="1" ht="12.75" hidden="1" customHeight="1" x14ac:dyDescent="0.2">
      <c r="A139" s="194"/>
      <c r="B139" s="195"/>
      <c r="C139" s="230"/>
      <c r="D139" s="276" t="s">
        <v>345</v>
      </c>
      <c r="E139" s="197"/>
      <c r="F139" s="344"/>
      <c r="G139" s="197"/>
      <c r="H139" s="259"/>
      <c r="I139" s="335"/>
    </row>
    <row r="140" spans="1:16" ht="12.75" customHeight="1" x14ac:dyDescent="0.2">
      <c r="A140" s="198">
        <f>A131+1</f>
        <v>15</v>
      </c>
      <c r="B140" s="199" t="s">
        <v>170</v>
      </c>
      <c r="C140" s="219" t="s">
        <v>204</v>
      </c>
      <c r="D140" s="277" t="str">
        <f>$D$12</f>
        <v>FTE December 2024</v>
      </c>
      <c r="E140" s="200">
        <v>0</v>
      </c>
      <c r="F140" s="343"/>
      <c r="G140" s="200">
        <f>SUBTOTAL(109,E140:F148)</f>
        <v>0</v>
      </c>
      <c r="H140" s="297"/>
      <c r="I140" s="195"/>
    </row>
    <row r="141" spans="1:16" s="260" customFormat="1" ht="12.75" customHeight="1" x14ac:dyDescent="0.2">
      <c r="A141" s="198"/>
      <c r="B141" s="199"/>
      <c r="C141" s="219"/>
      <c r="D141" s="232" t="s">
        <v>278</v>
      </c>
      <c r="E141" s="200"/>
      <c r="F141" s="343">
        <v>0</v>
      </c>
      <c r="G141" s="200"/>
      <c r="H141" s="296"/>
      <c r="I141" s="195"/>
      <c r="P141" s="334"/>
    </row>
    <row r="142" spans="1:16" s="260" customFormat="1" ht="12.75" hidden="1" customHeight="1" x14ac:dyDescent="0.2">
      <c r="A142" s="198"/>
      <c r="B142" s="199"/>
      <c r="C142" s="219"/>
      <c r="D142" s="232" t="s">
        <v>491</v>
      </c>
      <c r="E142" s="200"/>
      <c r="F142" s="343"/>
      <c r="G142" s="200"/>
      <c r="H142" s="296"/>
      <c r="I142" s="195"/>
    </row>
    <row r="143" spans="1:16" s="260" customFormat="1" ht="12.75" hidden="1" customHeight="1" x14ac:dyDescent="0.2">
      <c r="A143" s="198"/>
      <c r="B143" s="199"/>
      <c r="C143" s="219"/>
      <c r="D143" s="391" t="s">
        <v>361</v>
      </c>
      <c r="E143" s="200"/>
      <c r="F143" s="343"/>
      <c r="G143" s="200"/>
      <c r="H143" s="259"/>
      <c r="I143" s="230"/>
    </row>
    <row r="144" spans="1:16" s="260" customFormat="1" ht="12.75" hidden="1" customHeight="1" x14ac:dyDescent="0.2">
      <c r="A144" s="198"/>
      <c r="B144" s="199"/>
      <c r="C144" s="219"/>
      <c r="D144" s="232" t="s">
        <v>280</v>
      </c>
      <c r="E144" s="200"/>
      <c r="F144" s="343"/>
      <c r="G144" s="200"/>
      <c r="H144" s="296"/>
      <c r="I144" s="195"/>
    </row>
    <row r="145" spans="1:9" s="260" customFormat="1" ht="12.75" hidden="1" customHeight="1" x14ac:dyDescent="0.2">
      <c r="A145" s="198"/>
      <c r="B145" s="199"/>
      <c r="C145" s="219"/>
      <c r="D145" s="232" t="s">
        <v>279</v>
      </c>
      <c r="E145" s="200"/>
      <c r="F145" s="343"/>
      <c r="G145" s="200"/>
      <c r="H145" s="296"/>
      <c r="I145" s="195"/>
    </row>
    <row r="146" spans="1:9" s="260" customFormat="1" ht="12.75" hidden="1" customHeight="1" x14ac:dyDescent="0.2">
      <c r="A146" s="198"/>
      <c r="B146" s="199"/>
      <c r="C146" s="219"/>
      <c r="D146" s="232" t="s">
        <v>288</v>
      </c>
      <c r="E146" s="200"/>
      <c r="F146" s="343"/>
      <c r="G146" s="200"/>
      <c r="H146" s="296"/>
      <c r="I146" s="195"/>
    </row>
    <row r="147" spans="1:9" s="260" customFormat="1" ht="12.75" hidden="1" customHeight="1" x14ac:dyDescent="0.2">
      <c r="A147" s="198"/>
      <c r="B147" s="199"/>
      <c r="C147" s="219"/>
      <c r="D147" s="232" t="s">
        <v>257</v>
      </c>
      <c r="E147" s="200"/>
      <c r="F147" s="343"/>
      <c r="G147" s="200"/>
      <c r="H147" s="259"/>
      <c r="I147" s="333"/>
    </row>
    <row r="148" spans="1:9" s="260" customFormat="1" ht="12.75" hidden="1" customHeight="1" x14ac:dyDescent="0.2">
      <c r="A148" s="198"/>
      <c r="B148" s="199"/>
      <c r="C148" s="219"/>
      <c r="D148" s="278"/>
      <c r="E148" s="200"/>
      <c r="F148" s="343"/>
      <c r="G148" s="200"/>
      <c r="H148" s="296"/>
      <c r="I148" s="333"/>
    </row>
    <row r="149" spans="1:9" ht="12.75" customHeight="1" x14ac:dyDescent="0.2">
      <c r="A149" s="194">
        <f>A140+1</f>
        <v>16</v>
      </c>
      <c r="B149" s="195" t="s">
        <v>171</v>
      </c>
      <c r="C149" s="218" t="s">
        <v>205</v>
      </c>
      <c r="D149" s="513" t="str">
        <f>$D$12</f>
        <v>FTE December 2024</v>
      </c>
      <c r="E149" s="197">
        <f>'3394'!I$145</f>
        <v>133747.97</v>
      </c>
      <c r="F149" s="344" t="s">
        <v>328</v>
      </c>
      <c r="G149" s="197">
        <f>SUBTOTAL(109,E149:F158)</f>
        <v>131508.28</v>
      </c>
      <c r="H149" s="297"/>
      <c r="I149" s="195"/>
    </row>
    <row r="150" spans="1:9" s="260" customFormat="1" ht="12.75" customHeight="1" x14ac:dyDescent="0.2">
      <c r="A150" s="194"/>
      <c r="B150" s="195"/>
      <c r="C150" s="218"/>
      <c r="D150" s="231" t="s">
        <v>554</v>
      </c>
      <c r="E150" s="197"/>
      <c r="F150" s="344">
        <v>-1733.5</v>
      </c>
      <c r="G150" s="197"/>
      <c r="H150" s="296"/>
      <c r="I150" s="284"/>
    </row>
    <row r="151" spans="1:9" s="260" customFormat="1" ht="12.75" hidden="1" customHeight="1" x14ac:dyDescent="0.2">
      <c r="A151" s="194"/>
      <c r="B151" s="195"/>
      <c r="C151" s="218"/>
      <c r="D151" s="354" t="s">
        <v>491</v>
      </c>
      <c r="E151" s="197"/>
      <c r="F151" s="344"/>
      <c r="G151" s="197"/>
      <c r="H151" s="296"/>
      <c r="I151" s="284"/>
    </row>
    <row r="152" spans="1:9" s="260" customFormat="1" ht="12.75" hidden="1" customHeight="1" x14ac:dyDescent="0.2">
      <c r="A152" s="194"/>
      <c r="B152" s="195"/>
      <c r="C152" s="218"/>
      <c r="D152" s="231" t="s">
        <v>280</v>
      </c>
      <c r="E152" s="197"/>
      <c r="F152" s="344"/>
      <c r="G152" s="197"/>
      <c r="H152" s="259"/>
      <c r="I152" s="230"/>
    </row>
    <row r="153" spans="1:9" s="260" customFormat="1" ht="12.75" hidden="1" customHeight="1" x14ac:dyDescent="0.2">
      <c r="A153" s="194"/>
      <c r="B153" s="195"/>
      <c r="C153" s="218"/>
      <c r="D153" s="231" t="s">
        <v>279</v>
      </c>
      <c r="E153" s="197"/>
      <c r="F153" s="344"/>
      <c r="G153" s="197"/>
      <c r="H153" s="259"/>
      <c r="I153" s="230"/>
    </row>
    <row r="154" spans="1:9" s="260" customFormat="1" ht="12.75" hidden="1" customHeight="1" x14ac:dyDescent="0.2">
      <c r="A154" s="194"/>
      <c r="B154" s="195"/>
      <c r="C154" s="218"/>
      <c r="D154" s="231" t="s">
        <v>288</v>
      </c>
      <c r="E154" s="197"/>
      <c r="F154" s="344"/>
      <c r="G154" s="197"/>
      <c r="H154" s="296"/>
      <c r="I154" s="284"/>
    </row>
    <row r="155" spans="1:9" s="260" customFormat="1" ht="12.75" hidden="1" customHeight="1" x14ac:dyDescent="0.2">
      <c r="A155" s="194"/>
      <c r="B155" s="195"/>
      <c r="C155" s="218"/>
      <c r="D155" s="231" t="s">
        <v>257</v>
      </c>
      <c r="E155" s="197"/>
      <c r="F155" s="344"/>
      <c r="G155" s="197"/>
      <c r="H155" s="296"/>
      <c r="I155" s="284"/>
    </row>
    <row r="156" spans="1:9" s="260" customFormat="1" ht="12.75" hidden="1" customHeight="1" x14ac:dyDescent="0.2">
      <c r="A156" s="194"/>
      <c r="B156" s="195"/>
      <c r="C156" s="218"/>
      <c r="D156" s="231" t="s">
        <v>357</v>
      </c>
      <c r="E156" s="197"/>
      <c r="F156" s="344"/>
      <c r="G156" s="197"/>
      <c r="H156" s="296"/>
      <c r="I156" s="284"/>
    </row>
    <row r="157" spans="1:9" s="260" customFormat="1" ht="12.75" hidden="1" customHeight="1" x14ac:dyDescent="0.2">
      <c r="A157" s="194"/>
      <c r="B157" s="195"/>
      <c r="C157" s="218"/>
      <c r="D157" s="276" t="s">
        <v>388</v>
      </c>
      <c r="E157" s="197"/>
      <c r="F157" s="344"/>
      <c r="G157" s="197"/>
      <c r="H157" s="259"/>
      <c r="I157" s="333"/>
    </row>
    <row r="158" spans="1:9" s="260" customFormat="1" ht="12.75" customHeight="1" x14ac:dyDescent="0.2">
      <c r="A158" s="194"/>
      <c r="B158" s="195"/>
      <c r="C158" s="218"/>
      <c r="D158" s="276" t="s">
        <v>564</v>
      </c>
      <c r="E158" s="197"/>
      <c r="F158" s="344">
        <v>-506.19</v>
      </c>
      <c r="G158" s="197"/>
      <c r="H158" s="259"/>
      <c r="I158" s="333"/>
    </row>
    <row r="159" spans="1:9" s="260" customFormat="1" ht="12.75" customHeight="1" x14ac:dyDescent="0.2">
      <c r="A159" s="198">
        <f>A149+1</f>
        <v>17</v>
      </c>
      <c r="B159" s="199" t="s">
        <v>172</v>
      </c>
      <c r="C159" s="262" t="s">
        <v>286</v>
      </c>
      <c r="D159" s="277" t="str">
        <f>$D$12</f>
        <v>FTE December 2024</v>
      </c>
      <c r="E159" s="200">
        <f>'3395'!I$145</f>
        <v>361457.36</v>
      </c>
      <c r="F159" s="343"/>
      <c r="G159" s="200">
        <f>SUBTOTAL(109,E159:F167)</f>
        <v>356023.01</v>
      </c>
      <c r="H159" s="296"/>
      <c r="I159" s="284"/>
    </row>
    <row r="160" spans="1:9" s="260" customFormat="1" ht="12.75" customHeight="1" x14ac:dyDescent="0.2">
      <c r="A160" s="198"/>
      <c r="B160" s="199"/>
      <c r="C160" s="219"/>
      <c r="D160" s="232" t="s">
        <v>278</v>
      </c>
      <c r="E160" s="200"/>
      <c r="F160" s="343">
        <v>-5414.23</v>
      </c>
      <c r="G160" s="200"/>
      <c r="H160" s="296"/>
      <c r="I160" s="284"/>
    </row>
    <row r="161" spans="1:9" s="260" customFormat="1" ht="12.75" hidden="1" customHeight="1" x14ac:dyDescent="0.2">
      <c r="A161" s="198"/>
      <c r="B161" s="199"/>
      <c r="C161" s="219"/>
      <c r="D161" s="391" t="s">
        <v>491</v>
      </c>
      <c r="E161" s="200"/>
      <c r="F161" s="343"/>
      <c r="G161" s="200"/>
      <c r="H161" s="259"/>
      <c r="I161" s="230"/>
    </row>
    <row r="162" spans="1:9" s="260" customFormat="1" ht="12.75" hidden="1" customHeight="1" x14ac:dyDescent="0.2">
      <c r="A162" s="198"/>
      <c r="B162" s="199"/>
      <c r="C162" s="219"/>
      <c r="D162" s="232" t="s">
        <v>280</v>
      </c>
      <c r="E162" s="200"/>
      <c r="F162" s="343"/>
      <c r="G162" s="200"/>
      <c r="H162" s="296"/>
      <c r="I162" s="284"/>
    </row>
    <row r="163" spans="1:9" s="260" customFormat="1" ht="12.75" hidden="1" customHeight="1" x14ac:dyDescent="0.2">
      <c r="A163" s="198"/>
      <c r="B163" s="199"/>
      <c r="C163" s="219"/>
      <c r="D163" s="232" t="s">
        <v>279</v>
      </c>
      <c r="E163" s="200"/>
      <c r="F163" s="343"/>
      <c r="G163" s="200"/>
      <c r="H163" s="296"/>
      <c r="I163" s="284"/>
    </row>
    <row r="164" spans="1:9" s="260" customFormat="1" ht="12.75" hidden="1" customHeight="1" x14ac:dyDescent="0.2">
      <c r="A164" s="198"/>
      <c r="B164" s="199"/>
      <c r="C164" s="219"/>
      <c r="D164" s="232" t="s">
        <v>288</v>
      </c>
      <c r="E164" s="200"/>
      <c r="F164" s="343"/>
      <c r="G164" s="200"/>
      <c r="H164" s="296"/>
      <c r="I164" s="284"/>
    </row>
    <row r="165" spans="1:9" s="260" customFormat="1" ht="12.75" hidden="1" customHeight="1" x14ac:dyDescent="0.2">
      <c r="A165" s="198"/>
      <c r="B165" s="199"/>
      <c r="C165" s="219"/>
      <c r="D165" s="232" t="s">
        <v>257</v>
      </c>
      <c r="E165" s="200"/>
      <c r="F165" s="343"/>
      <c r="G165" s="200"/>
      <c r="H165" s="259"/>
      <c r="I165" s="333"/>
    </row>
    <row r="166" spans="1:9" s="260" customFormat="1" ht="12.75" hidden="1" customHeight="1" x14ac:dyDescent="0.2">
      <c r="A166" s="198"/>
      <c r="B166" s="199"/>
      <c r="C166" s="219"/>
      <c r="D166" s="315" t="s">
        <v>453</v>
      </c>
      <c r="E166" s="200"/>
      <c r="F166" s="343"/>
      <c r="G166" s="200"/>
      <c r="H166" s="296"/>
      <c r="I166" s="335"/>
    </row>
    <row r="167" spans="1:9" s="260" customFormat="1" ht="12.75" customHeight="1" x14ac:dyDescent="0.2">
      <c r="A167" s="347"/>
      <c r="B167" s="199"/>
      <c r="C167" s="219"/>
      <c r="D167" s="315" t="s">
        <v>565</v>
      </c>
      <c r="E167" s="555"/>
      <c r="F167" s="343">
        <v>-20.12</v>
      </c>
      <c r="G167" s="200"/>
      <c r="H167" s="296"/>
      <c r="I167" s="335"/>
    </row>
    <row r="168" spans="1:9" s="260" customFormat="1" ht="12.75" customHeight="1" x14ac:dyDescent="0.2">
      <c r="A168" s="194">
        <f>A159+1</f>
        <v>18</v>
      </c>
      <c r="B168" s="195" t="s">
        <v>173</v>
      </c>
      <c r="C168" s="261" t="s">
        <v>227</v>
      </c>
      <c r="D168" s="513" t="str">
        <f>$D$12</f>
        <v>FTE December 2024</v>
      </c>
      <c r="E168" s="197">
        <f>'3396'!I$145</f>
        <v>506201.79</v>
      </c>
      <c r="F168" s="344"/>
      <c r="G168" s="197">
        <f>SUBTOTAL(109,E168:F175)</f>
        <v>501926.29</v>
      </c>
      <c r="H168" s="296"/>
      <c r="I168" s="284"/>
    </row>
    <row r="169" spans="1:9" s="260" customFormat="1" ht="12.75" customHeight="1" x14ac:dyDescent="0.2">
      <c r="A169" s="194"/>
      <c r="B169" s="195"/>
      <c r="C169" s="261"/>
      <c r="D169" s="231" t="s">
        <v>554</v>
      </c>
      <c r="E169" s="197"/>
      <c r="F169" s="344">
        <v>-4275.5</v>
      </c>
      <c r="G169" s="197"/>
      <c r="H169" s="296"/>
      <c r="I169" s="284"/>
    </row>
    <row r="170" spans="1:9" s="260" customFormat="1" ht="12.75" hidden="1" customHeight="1" x14ac:dyDescent="0.2">
      <c r="A170" s="194"/>
      <c r="B170" s="195"/>
      <c r="C170" s="261"/>
      <c r="D170" s="231" t="s">
        <v>491</v>
      </c>
      <c r="E170" s="197"/>
      <c r="F170" s="344"/>
      <c r="G170" s="197"/>
      <c r="H170" s="296"/>
      <c r="I170" s="284"/>
    </row>
    <row r="171" spans="1:9" s="260" customFormat="1" ht="12.75" hidden="1" customHeight="1" x14ac:dyDescent="0.2">
      <c r="A171" s="194"/>
      <c r="B171" s="195"/>
      <c r="C171" s="261"/>
      <c r="D171" s="231" t="s">
        <v>279</v>
      </c>
      <c r="E171" s="197"/>
      <c r="F171" s="344"/>
      <c r="G171" s="197"/>
      <c r="H171" s="259"/>
      <c r="I171" s="230"/>
    </row>
    <row r="172" spans="1:9" s="260" customFormat="1" ht="12.75" hidden="1" customHeight="1" x14ac:dyDescent="0.2">
      <c r="A172" s="194"/>
      <c r="B172" s="195"/>
      <c r="C172" s="261"/>
      <c r="D172" s="231" t="s">
        <v>288</v>
      </c>
      <c r="E172" s="197"/>
      <c r="F172" s="344"/>
      <c r="G172" s="197"/>
      <c r="H172" s="296"/>
      <c r="I172" s="284"/>
    </row>
    <row r="173" spans="1:9" s="260" customFormat="1" ht="12.75" hidden="1" customHeight="1" x14ac:dyDescent="0.2">
      <c r="A173" s="194"/>
      <c r="B173" s="195"/>
      <c r="C173" s="218"/>
      <c r="D173" s="231" t="s">
        <v>257</v>
      </c>
      <c r="E173" s="197"/>
      <c r="F173" s="344"/>
      <c r="G173" s="197"/>
      <c r="H173" s="296"/>
      <c r="I173" s="284"/>
    </row>
    <row r="174" spans="1:9" s="260" customFormat="1" ht="12.75" hidden="1" customHeight="1" x14ac:dyDescent="0.2">
      <c r="A174" s="194"/>
      <c r="B174" s="195"/>
      <c r="C174" s="218"/>
      <c r="D174" s="231" t="s">
        <v>357</v>
      </c>
      <c r="E174" s="197"/>
      <c r="F174" s="344"/>
      <c r="G174" s="197"/>
      <c r="H174" s="296"/>
      <c r="I174" s="284"/>
    </row>
    <row r="175" spans="1:9" s="260" customFormat="1" ht="12.75" hidden="1" customHeight="1" x14ac:dyDescent="0.2">
      <c r="A175" s="194"/>
      <c r="B175" s="195"/>
      <c r="C175" s="218"/>
      <c r="D175" s="276" t="s">
        <v>345</v>
      </c>
      <c r="E175" s="197"/>
      <c r="F175" s="344"/>
      <c r="G175" s="197"/>
      <c r="H175" s="259"/>
      <c r="I175" s="333"/>
    </row>
    <row r="176" spans="1:9" s="260" customFormat="1" ht="12.75" customHeight="1" x14ac:dyDescent="0.2">
      <c r="A176" s="198">
        <f>A168+1</f>
        <v>19</v>
      </c>
      <c r="B176" s="199" t="s">
        <v>174</v>
      </c>
      <c r="C176" s="219" t="s">
        <v>195</v>
      </c>
      <c r="D176" s="277" t="str">
        <f>$D$12</f>
        <v>FTE December 2024</v>
      </c>
      <c r="E176" s="200">
        <f>'3398'!I$145</f>
        <v>72136.72</v>
      </c>
      <c r="F176" s="343"/>
      <c r="G176" s="200">
        <f>SUBTOTAL(109,E176:F182)</f>
        <v>72478.27</v>
      </c>
      <c r="H176" s="296"/>
      <c r="I176" s="335"/>
    </row>
    <row r="177" spans="1:11" ht="12.75" customHeight="1" x14ac:dyDescent="0.2">
      <c r="A177" s="198"/>
      <c r="B177" s="199"/>
      <c r="C177" s="219"/>
      <c r="D177" s="232" t="s">
        <v>278</v>
      </c>
      <c r="E177" s="200"/>
      <c r="F177" s="343">
        <v>341.55</v>
      </c>
      <c r="G177" s="200"/>
      <c r="H177" s="297"/>
      <c r="I177" s="348"/>
    </row>
    <row r="178" spans="1:11" s="260" customFormat="1" ht="12.75" hidden="1" customHeight="1" x14ac:dyDescent="0.2">
      <c r="A178" s="198"/>
      <c r="B178" s="199"/>
      <c r="C178" s="219"/>
      <c r="D178" s="232" t="s">
        <v>491</v>
      </c>
      <c r="E178" s="200"/>
      <c r="F178" s="343"/>
      <c r="G178" s="200"/>
      <c r="H178" s="296"/>
      <c r="I178" s="284"/>
      <c r="K178" s="334"/>
    </row>
    <row r="179" spans="1:11" s="260" customFormat="1" ht="12.75" hidden="1" customHeight="1" x14ac:dyDescent="0.2">
      <c r="A179" s="198"/>
      <c r="B179" s="199"/>
      <c r="C179" s="219"/>
      <c r="D179" s="232" t="s">
        <v>279</v>
      </c>
      <c r="E179" s="200"/>
      <c r="F179" s="343"/>
      <c r="G179" s="200"/>
      <c r="H179" s="296"/>
      <c r="I179" s="284"/>
    </row>
    <row r="180" spans="1:11" s="260" customFormat="1" ht="12.75" hidden="1" customHeight="1" x14ac:dyDescent="0.2">
      <c r="A180" s="198"/>
      <c r="B180" s="199"/>
      <c r="C180" s="228"/>
      <c r="D180" s="232" t="s">
        <v>288</v>
      </c>
      <c r="E180" s="200"/>
      <c r="F180" s="343"/>
      <c r="G180" s="200"/>
      <c r="H180" s="296"/>
    </row>
    <row r="181" spans="1:11" s="260" customFormat="1" ht="12.75" hidden="1" customHeight="1" x14ac:dyDescent="0.2">
      <c r="A181" s="198"/>
      <c r="B181" s="199"/>
      <c r="C181" s="219"/>
      <c r="D181" s="232" t="s">
        <v>257</v>
      </c>
      <c r="E181" s="200"/>
      <c r="F181" s="343"/>
      <c r="G181" s="200"/>
      <c r="H181" s="296"/>
    </row>
    <row r="182" spans="1:11" s="260" customFormat="1" ht="12.75" hidden="1" customHeight="1" x14ac:dyDescent="0.2">
      <c r="A182" s="198"/>
      <c r="B182" s="199"/>
      <c r="C182" s="228"/>
      <c r="D182" s="278" t="s">
        <v>345</v>
      </c>
      <c r="E182" s="200"/>
      <c r="F182" s="343"/>
      <c r="G182" s="200"/>
      <c r="H182" s="296"/>
    </row>
    <row r="183" spans="1:11" s="260" customFormat="1" ht="12.75" customHeight="1" x14ac:dyDescent="0.2">
      <c r="A183" s="194">
        <f>A176+1</f>
        <v>20</v>
      </c>
      <c r="B183" s="195" t="s">
        <v>175</v>
      </c>
      <c r="C183" s="218" t="s">
        <v>189</v>
      </c>
      <c r="D183" s="513" t="str">
        <f>$D$12</f>
        <v>FTE December 2024</v>
      </c>
      <c r="E183" s="197">
        <f>'3400'!I$145</f>
        <v>95159.11</v>
      </c>
      <c r="F183" s="344"/>
      <c r="G183" s="197">
        <f>SUBTOTAL(109,E183:F190)</f>
        <v>96108.49</v>
      </c>
      <c r="H183" s="259"/>
      <c r="I183" s="333"/>
    </row>
    <row r="184" spans="1:11" s="260" customFormat="1" ht="12.75" customHeight="1" x14ac:dyDescent="0.2">
      <c r="A184" s="194"/>
      <c r="B184" s="195"/>
      <c r="C184" s="218"/>
      <c r="D184" s="231" t="s">
        <v>554</v>
      </c>
      <c r="E184" s="197"/>
      <c r="F184" s="344">
        <v>949.38</v>
      </c>
      <c r="G184" s="197"/>
      <c r="H184" s="296"/>
      <c r="I184" s="335"/>
    </row>
    <row r="185" spans="1:11" s="260" customFormat="1" ht="12.75" hidden="1" customHeight="1" x14ac:dyDescent="0.2">
      <c r="A185" s="194"/>
      <c r="B185" s="195"/>
      <c r="C185" s="218"/>
      <c r="D185" s="354" t="s">
        <v>491</v>
      </c>
      <c r="E185" s="197"/>
      <c r="F185" s="344"/>
      <c r="G185" s="197"/>
      <c r="H185" s="296"/>
      <c r="I185" s="284"/>
    </row>
    <row r="186" spans="1:11" s="260" customFormat="1" ht="12.75" hidden="1" customHeight="1" x14ac:dyDescent="0.2">
      <c r="A186" s="194"/>
      <c r="B186" s="195"/>
      <c r="C186" s="218"/>
      <c r="D186" s="231" t="s">
        <v>280</v>
      </c>
      <c r="E186" s="197"/>
      <c r="F186" s="344"/>
      <c r="G186" s="197"/>
      <c r="H186" s="296"/>
      <c r="I186" s="284"/>
    </row>
    <row r="187" spans="1:11" s="260" customFormat="1" ht="12.75" hidden="1" customHeight="1" x14ac:dyDescent="0.2">
      <c r="A187" s="194"/>
      <c r="B187" s="195"/>
      <c r="C187" s="218"/>
      <c r="D187" s="231" t="s">
        <v>279</v>
      </c>
      <c r="E187" s="197"/>
      <c r="F187" s="344"/>
      <c r="G187" s="197"/>
      <c r="H187" s="296"/>
      <c r="I187" s="284"/>
    </row>
    <row r="188" spans="1:11" s="260" customFormat="1" ht="12.75" hidden="1" customHeight="1" x14ac:dyDescent="0.2">
      <c r="A188" s="194"/>
      <c r="B188" s="195"/>
      <c r="C188" s="218"/>
      <c r="D188" s="231" t="s">
        <v>288</v>
      </c>
      <c r="E188" s="197"/>
      <c r="F188" s="344"/>
      <c r="G188" s="197"/>
      <c r="H188" s="296"/>
    </row>
    <row r="189" spans="1:11" s="260" customFormat="1" ht="12.75" hidden="1" customHeight="1" x14ac:dyDescent="0.2">
      <c r="A189" s="194"/>
      <c r="B189" s="195"/>
      <c r="C189" s="218"/>
      <c r="D189" s="231" t="s">
        <v>257</v>
      </c>
      <c r="E189" s="197"/>
      <c r="F189" s="344"/>
      <c r="G189" s="197"/>
      <c r="H189" s="296"/>
      <c r="I189" s="188"/>
    </row>
    <row r="190" spans="1:11" ht="12.75" hidden="1" customHeight="1" x14ac:dyDescent="0.2">
      <c r="A190" s="194"/>
      <c r="B190" s="195"/>
      <c r="C190" s="218"/>
      <c r="D190" s="276" t="s">
        <v>345</v>
      </c>
      <c r="E190" s="197"/>
      <c r="F190" s="344"/>
      <c r="G190" s="197"/>
      <c r="H190" s="297"/>
    </row>
    <row r="191" spans="1:11" s="260" customFormat="1" ht="12.75" customHeight="1" x14ac:dyDescent="0.2">
      <c r="A191" s="198">
        <f>A183+1</f>
        <v>21</v>
      </c>
      <c r="B191" s="199" t="s">
        <v>176</v>
      </c>
      <c r="C191" s="219" t="s">
        <v>206</v>
      </c>
      <c r="D191" s="277" t="str">
        <f>$D$12</f>
        <v>FTE December 2024</v>
      </c>
      <c r="E191" s="200">
        <f>'3401'!I$145</f>
        <v>313466.46999999997</v>
      </c>
      <c r="F191" s="343"/>
      <c r="G191" s="200">
        <f>SUBTOTAL(109,E191:F201)</f>
        <v>307220.34999999998</v>
      </c>
      <c r="H191" s="259"/>
      <c r="I191" s="333"/>
    </row>
    <row r="192" spans="1:11" ht="12.75" customHeight="1" x14ac:dyDescent="0.2">
      <c r="A192" s="198"/>
      <c r="B192" s="199"/>
      <c r="C192" s="219"/>
      <c r="D192" s="232" t="s">
        <v>278</v>
      </c>
      <c r="E192" s="200"/>
      <c r="F192" s="343">
        <v>-6246.12</v>
      </c>
      <c r="G192" s="200"/>
      <c r="H192" s="297"/>
      <c r="I192" s="284"/>
    </row>
    <row r="193" spans="1:9" s="260" customFormat="1" ht="12.75" hidden="1" customHeight="1" x14ac:dyDescent="0.2">
      <c r="A193" s="198"/>
      <c r="B193" s="199"/>
      <c r="C193" s="219"/>
      <c r="D193" s="391" t="s">
        <v>491</v>
      </c>
      <c r="E193" s="200"/>
      <c r="F193" s="343"/>
      <c r="G193" s="200"/>
      <c r="H193" s="296"/>
      <c r="I193" s="284"/>
    </row>
    <row r="194" spans="1:9" s="260" customFormat="1" ht="12.75" hidden="1" customHeight="1" x14ac:dyDescent="0.2">
      <c r="A194" s="198"/>
      <c r="B194" s="199"/>
      <c r="C194" s="219"/>
      <c r="D194" s="232" t="s">
        <v>363</v>
      </c>
      <c r="E194" s="200"/>
      <c r="F194" s="343"/>
      <c r="G194" s="200"/>
      <c r="H194" s="296"/>
      <c r="I194" s="284"/>
    </row>
    <row r="195" spans="1:9" s="260" customFormat="1" ht="12.75" hidden="1" customHeight="1" x14ac:dyDescent="0.2">
      <c r="A195" s="198"/>
      <c r="B195" s="199"/>
      <c r="C195" s="219"/>
      <c r="D195" s="232" t="s">
        <v>364</v>
      </c>
      <c r="E195" s="200"/>
      <c r="F195" s="343"/>
      <c r="G195" s="200"/>
      <c r="H195" s="259"/>
      <c r="I195" s="230"/>
    </row>
    <row r="196" spans="1:9" s="260" customFormat="1" ht="12.75" hidden="1" customHeight="1" x14ac:dyDescent="0.2">
      <c r="A196" s="198"/>
      <c r="B196" s="199"/>
      <c r="C196" s="219"/>
      <c r="D196" s="232" t="s">
        <v>280</v>
      </c>
      <c r="E196" s="200"/>
      <c r="F196" s="343"/>
      <c r="G196" s="200"/>
      <c r="H196" s="296"/>
    </row>
    <row r="197" spans="1:9" s="260" customFormat="1" ht="12.75" hidden="1" customHeight="1" x14ac:dyDescent="0.2">
      <c r="A197" s="198"/>
      <c r="B197" s="199"/>
      <c r="C197" s="219"/>
      <c r="D197" s="232" t="s">
        <v>279</v>
      </c>
      <c r="E197" s="200"/>
      <c r="F197" s="343"/>
      <c r="G197" s="200"/>
      <c r="H197" s="296"/>
    </row>
    <row r="198" spans="1:9" s="260" customFormat="1" ht="12.75" hidden="1" customHeight="1" x14ac:dyDescent="0.2">
      <c r="A198" s="198"/>
      <c r="B198" s="199"/>
      <c r="C198" s="219"/>
      <c r="D198" s="232" t="s">
        <v>288</v>
      </c>
      <c r="E198" s="200"/>
      <c r="F198" s="343"/>
      <c r="G198" s="200"/>
      <c r="H198" s="296"/>
      <c r="I198" s="195"/>
    </row>
    <row r="199" spans="1:9" s="260" customFormat="1" ht="12.75" hidden="1" customHeight="1" x14ac:dyDescent="0.2">
      <c r="A199" s="198"/>
      <c r="B199" s="199"/>
      <c r="C199" s="219"/>
      <c r="D199" s="232" t="s">
        <v>257</v>
      </c>
      <c r="E199" s="200"/>
      <c r="F199" s="343"/>
      <c r="G199" s="200"/>
      <c r="H199" s="259"/>
      <c r="I199" s="333"/>
    </row>
    <row r="200" spans="1:9" s="260" customFormat="1" ht="12.75" hidden="1" customHeight="1" x14ac:dyDescent="0.2">
      <c r="A200" s="198"/>
      <c r="B200" s="199"/>
      <c r="C200" s="228"/>
      <c r="D200" s="315" t="s">
        <v>358</v>
      </c>
      <c r="E200" s="200"/>
      <c r="F200" s="343"/>
      <c r="G200" s="200"/>
      <c r="H200" s="259"/>
      <c r="I200" s="333"/>
    </row>
    <row r="201" spans="1:9" s="260" customFormat="1" ht="12.75" hidden="1" customHeight="1" x14ac:dyDescent="0.2">
      <c r="A201" s="198"/>
      <c r="B201" s="199"/>
      <c r="C201" s="219"/>
      <c r="D201" s="278" t="s">
        <v>345</v>
      </c>
      <c r="E201" s="200"/>
      <c r="F201" s="343"/>
      <c r="G201" s="200"/>
      <c r="H201" s="296"/>
      <c r="I201" s="195"/>
    </row>
    <row r="202" spans="1:9" s="260" customFormat="1" ht="12.75" customHeight="1" x14ac:dyDescent="0.2">
      <c r="A202" s="194">
        <f>A191+1</f>
        <v>22</v>
      </c>
      <c r="B202" s="195" t="s">
        <v>177</v>
      </c>
      <c r="C202" s="218" t="s">
        <v>207</v>
      </c>
      <c r="D202" s="513" t="str">
        <f>$D$12</f>
        <v>FTE December 2024</v>
      </c>
      <c r="E202" s="197">
        <f>'3413'!I$145</f>
        <v>293048.83</v>
      </c>
      <c r="F202" s="344"/>
      <c r="G202" s="197">
        <f>SUBTOTAL(109,E202:F209)</f>
        <v>290951.47000000003</v>
      </c>
      <c r="H202" s="296"/>
      <c r="I202" s="195"/>
    </row>
    <row r="203" spans="1:9" s="260" customFormat="1" ht="12.75" customHeight="1" x14ac:dyDescent="0.2">
      <c r="A203" s="194"/>
      <c r="B203" s="195"/>
      <c r="C203" s="218"/>
      <c r="D203" s="231" t="s">
        <v>554</v>
      </c>
      <c r="E203" s="197"/>
      <c r="F203" s="344">
        <v>-2097.36</v>
      </c>
      <c r="G203" s="197"/>
      <c r="H203" s="296"/>
      <c r="I203" s="195"/>
    </row>
    <row r="204" spans="1:9" s="260" customFormat="1" ht="12.75" hidden="1" customHeight="1" x14ac:dyDescent="0.2">
      <c r="A204" s="194"/>
      <c r="B204" s="195"/>
      <c r="C204" s="218"/>
      <c r="D204" s="354" t="s">
        <v>491</v>
      </c>
      <c r="E204" s="197"/>
      <c r="F204" s="344"/>
      <c r="G204" s="197"/>
      <c r="H204" s="296"/>
      <c r="I204" s="195"/>
    </row>
    <row r="205" spans="1:9" s="260" customFormat="1" ht="12.75" hidden="1" customHeight="1" x14ac:dyDescent="0.2">
      <c r="A205" s="194"/>
      <c r="B205" s="195"/>
      <c r="C205" s="218"/>
      <c r="D205" s="231" t="s">
        <v>280</v>
      </c>
      <c r="E205" s="197"/>
      <c r="F205" s="344"/>
      <c r="G205" s="197"/>
      <c r="H205" s="296"/>
      <c r="I205" s="195"/>
    </row>
    <row r="206" spans="1:9" s="260" customFormat="1" ht="12.75" hidden="1" customHeight="1" x14ac:dyDescent="0.2">
      <c r="A206" s="194"/>
      <c r="B206" s="195"/>
      <c r="C206" s="218"/>
      <c r="D206" s="231" t="s">
        <v>279</v>
      </c>
      <c r="E206" s="197"/>
      <c r="F206" s="344"/>
      <c r="G206" s="197"/>
      <c r="H206" s="296"/>
      <c r="I206" s="195"/>
    </row>
    <row r="207" spans="1:9" s="260" customFormat="1" ht="12.75" hidden="1" customHeight="1" x14ac:dyDescent="0.2">
      <c r="A207" s="194"/>
      <c r="B207" s="195"/>
      <c r="C207" s="218"/>
      <c r="D207" s="231" t="s">
        <v>288</v>
      </c>
      <c r="E207" s="197"/>
      <c r="F207" s="344"/>
      <c r="G207" s="197"/>
      <c r="H207" s="296"/>
      <c r="I207" s="195"/>
    </row>
    <row r="208" spans="1:9" s="260" customFormat="1" ht="12.75" hidden="1" customHeight="1" x14ac:dyDescent="0.2">
      <c r="A208" s="194"/>
      <c r="B208" s="195"/>
      <c r="C208" s="218"/>
      <c r="D208" s="231" t="s">
        <v>257</v>
      </c>
      <c r="E208" s="197"/>
      <c r="F208" s="344"/>
      <c r="G208" s="197"/>
      <c r="H208" s="296"/>
      <c r="I208" s="195"/>
    </row>
    <row r="209" spans="1:9" s="260" customFormat="1" ht="12.75" hidden="1" customHeight="1" x14ac:dyDescent="0.2">
      <c r="A209" s="194"/>
      <c r="B209" s="195"/>
      <c r="C209" s="218"/>
      <c r="D209" s="276" t="s">
        <v>345</v>
      </c>
      <c r="E209" s="197"/>
      <c r="F209" s="344"/>
      <c r="G209" s="197"/>
      <c r="H209" s="259"/>
      <c r="I209" s="333"/>
    </row>
    <row r="210" spans="1:9" s="260" customFormat="1" ht="12.75" customHeight="1" x14ac:dyDescent="0.2">
      <c r="A210" s="198">
        <f>A202+1</f>
        <v>23</v>
      </c>
      <c r="B210" s="199" t="s">
        <v>178</v>
      </c>
      <c r="C210" s="219" t="s">
        <v>208</v>
      </c>
      <c r="D210" s="277" t="str">
        <f>$D$12</f>
        <v>FTE December 2024</v>
      </c>
      <c r="E210" s="200">
        <f>'3421'!I$145</f>
        <v>351143.65</v>
      </c>
      <c r="F210" s="343"/>
      <c r="G210" s="200">
        <f>SUBTOTAL(109,E210:F220)</f>
        <v>346228.41000000003</v>
      </c>
      <c r="H210" s="296"/>
      <c r="I210" s="338"/>
    </row>
    <row r="211" spans="1:9" s="260" customFormat="1" ht="12.75" customHeight="1" x14ac:dyDescent="0.2">
      <c r="A211" s="198"/>
      <c r="B211" s="199"/>
      <c r="C211" s="219"/>
      <c r="D211" s="232" t="s">
        <v>278</v>
      </c>
      <c r="E211" s="200"/>
      <c r="F211" s="343">
        <v>-4915.24</v>
      </c>
      <c r="G211" s="200"/>
      <c r="H211" s="259"/>
      <c r="I211" s="333"/>
    </row>
    <row r="212" spans="1:9" s="260" customFormat="1" ht="12.75" hidden="1" customHeight="1" x14ac:dyDescent="0.2">
      <c r="A212" s="198"/>
      <c r="B212" s="199"/>
      <c r="C212" s="219"/>
      <c r="D212" s="391" t="s">
        <v>371</v>
      </c>
      <c r="E212" s="200"/>
      <c r="F212" s="343"/>
      <c r="G212" s="200"/>
      <c r="H212" s="296"/>
      <c r="I212" s="195"/>
    </row>
    <row r="213" spans="1:9" s="260" customFormat="1" ht="12.75" hidden="1" customHeight="1" x14ac:dyDescent="0.2">
      <c r="A213" s="198"/>
      <c r="B213" s="199"/>
      <c r="C213" s="219"/>
      <c r="D213" s="232" t="s">
        <v>363</v>
      </c>
      <c r="E213" s="200"/>
      <c r="F213" s="343"/>
      <c r="G213" s="200"/>
      <c r="H213" s="296"/>
      <c r="I213" s="195"/>
    </row>
    <row r="214" spans="1:9" s="260" customFormat="1" ht="12.75" hidden="1" customHeight="1" x14ac:dyDescent="0.2">
      <c r="A214" s="198"/>
      <c r="B214" s="199"/>
      <c r="C214" s="219"/>
      <c r="D214" s="232" t="s">
        <v>364</v>
      </c>
      <c r="E214" s="200"/>
      <c r="F214" s="343"/>
      <c r="G214" s="200"/>
      <c r="H214" s="259"/>
      <c r="I214" s="230"/>
    </row>
    <row r="215" spans="1:9" s="260" customFormat="1" ht="12.75" hidden="1" customHeight="1" x14ac:dyDescent="0.2">
      <c r="A215" s="198"/>
      <c r="B215" s="199"/>
      <c r="C215" s="219"/>
      <c r="D215" s="232" t="s">
        <v>280</v>
      </c>
      <c r="E215" s="200"/>
      <c r="F215" s="343"/>
      <c r="G215" s="200"/>
      <c r="H215" s="296"/>
    </row>
    <row r="216" spans="1:9" s="260" customFormat="1" ht="12.75" hidden="1" customHeight="1" x14ac:dyDescent="0.2">
      <c r="A216" s="198"/>
      <c r="B216" s="199"/>
      <c r="C216" s="219"/>
      <c r="D216" s="232" t="s">
        <v>279</v>
      </c>
      <c r="E216" s="200"/>
      <c r="F216" s="343"/>
      <c r="G216" s="200"/>
      <c r="H216" s="296"/>
    </row>
    <row r="217" spans="1:9" s="260" customFormat="1" ht="12.75" hidden="1" customHeight="1" x14ac:dyDescent="0.2">
      <c r="A217" s="198"/>
      <c r="B217" s="199"/>
      <c r="C217" s="219"/>
      <c r="D217" s="232" t="s">
        <v>288</v>
      </c>
      <c r="E217" s="200"/>
      <c r="F217" s="343"/>
      <c r="G217" s="200"/>
      <c r="H217" s="296"/>
    </row>
    <row r="218" spans="1:9" s="260" customFormat="1" ht="12.75" hidden="1" customHeight="1" x14ac:dyDescent="0.2">
      <c r="A218" s="198"/>
      <c r="B218" s="199"/>
      <c r="C218" s="219"/>
      <c r="D218" s="232" t="s">
        <v>257</v>
      </c>
      <c r="E218" s="200"/>
      <c r="F218" s="343"/>
      <c r="G218" s="200"/>
      <c r="H218" s="259"/>
      <c r="I218" s="333"/>
    </row>
    <row r="219" spans="1:9" s="260" customFormat="1" ht="12.75" hidden="1" customHeight="1" x14ac:dyDescent="0.2">
      <c r="A219" s="198"/>
      <c r="B219" s="199"/>
      <c r="C219" s="228"/>
      <c r="D219" s="315" t="s">
        <v>358</v>
      </c>
      <c r="E219" s="200"/>
      <c r="F219" s="343"/>
      <c r="G219" s="200"/>
      <c r="H219" s="259"/>
      <c r="I219" s="333"/>
    </row>
    <row r="220" spans="1:9" s="260" customFormat="1" ht="12.75" hidden="1" customHeight="1" x14ac:dyDescent="0.2">
      <c r="A220" s="198"/>
      <c r="B220" s="199"/>
      <c r="C220" s="219"/>
      <c r="D220" s="278" t="s">
        <v>345</v>
      </c>
      <c r="E220" s="200"/>
      <c r="F220" s="343"/>
      <c r="G220" s="200"/>
      <c r="H220" s="296"/>
    </row>
    <row r="221" spans="1:9" s="260" customFormat="1" ht="12.75" customHeight="1" x14ac:dyDescent="0.2">
      <c r="A221" s="194">
        <f>A210+1</f>
        <v>24</v>
      </c>
      <c r="B221" s="195" t="s">
        <v>179</v>
      </c>
      <c r="C221" s="218" t="s">
        <v>210</v>
      </c>
      <c r="D221" s="513" t="str">
        <f>$D$12</f>
        <v>FTE December 2024</v>
      </c>
      <c r="E221" s="197">
        <f>'3431'!I$145</f>
        <v>745453.32</v>
      </c>
      <c r="F221" s="344"/>
      <c r="G221" s="197">
        <f>SUBTOTAL(109,E221:F230)</f>
        <v>741111.08</v>
      </c>
      <c r="H221" s="296"/>
    </row>
    <row r="222" spans="1:9" s="260" customFormat="1" ht="12.75" customHeight="1" x14ac:dyDescent="0.2">
      <c r="A222" s="194"/>
      <c r="B222" s="195"/>
      <c r="C222" s="218"/>
      <c r="D222" s="231" t="s">
        <v>554</v>
      </c>
      <c r="E222" s="197"/>
      <c r="F222" s="344">
        <v>-4342.24</v>
      </c>
      <c r="G222" s="197"/>
      <c r="H222" s="296"/>
      <c r="I222" s="195"/>
    </row>
    <row r="223" spans="1:9" s="260" customFormat="1" ht="12.75" hidden="1" customHeight="1" x14ac:dyDescent="0.2">
      <c r="A223" s="194"/>
      <c r="B223" s="195"/>
      <c r="C223" s="218"/>
      <c r="D223" s="354" t="s">
        <v>491</v>
      </c>
      <c r="E223" s="197"/>
      <c r="F223" s="344"/>
      <c r="G223" s="197"/>
      <c r="H223" s="296"/>
      <c r="I223" s="195"/>
    </row>
    <row r="224" spans="1:9" s="260" customFormat="1" ht="12.75" hidden="1" customHeight="1" x14ac:dyDescent="0.2">
      <c r="A224" s="194"/>
      <c r="B224" s="195"/>
      <c r="C224" s="218"/>
      <c r="D224" s="231" t="s">
        <v>280</v>
      </c>
      <c r="E224" s="197"/>
      <c r="F224" s="344"/>
      <c r="G224" s="197"/>
      <c r="H224" s="296"/>
      <c r="I224" s="195"/>
    </row>
    <row r="225" spans="1:9" s="260" customFormat="1" ht="12.75" hidden="1" customHeight="1" x14ac:dyDescent="0.2">
      <c r="A225" s="194"/>
      <c r="B225" s="195"/>
      <c r="C225" s="218"/>
      <c r="D225" s="231" t="s">
        <v>354</v>
      </c>
      <c r="E225" s="197"/>
      <c r="F225" s="344"/>
      <c r="G225" s="197"/>
      <c r="H225" s="296"/>
    </row>
    <row r="226" spans="1:9" s="260" customFormat="1" ht="12.75" hidden="1" customHeight="1" x14ac:dyDescent="0.2">
      <c r="A226" s="194"/>
      <c r="B226" s="195"/>
      <c r="C226" s="218"/>
      <c r="D226" s="231" t="s">
        <v>288</v>
      </c>
      <c r="E226" s="197"/>
      <c r="F226" s="344"/>
      <c r="G226" s="197"/>
      <c r="H226" s="296"/>
      <c r="I226" s="195"/>
    </row>
    <row r="227" spans="1:9" s="260" customFormat="1" ht="12.75" hidden="1" customHeight="1" x14ac:dyDescent="0.2">
      <c r="A227" s="194"/>
      <c r="B227" s="195"/>
      <c r="C227" s="218"/>
      <c r="D227" s="231" t="s">
        <v>257</v>
      </c>
      <c r="E227" s="197"/>
      <c r="F227" s="344"/>
      <c r="G227" s="197"/>
      <c r="H227" s="296"/>
    </row>
    <row r="228" spans="1:9" s="260" customFormat="1" ht="12.75" hidden="1" customHeight="1" x14ac:dyDescent="0.2">
      <c r="A228" s="194"/>
      <c r="B228" s="195"/>
      <c r="C228" s="218"/>
      <c r="D228" s="231" t="s">
        <v>302</v>
      </c>
      <c r="E228" s="197"/>
      <c r="F228" s="344"/>
      <c r="G228" s="197"/>
      <c r="H228" s="259"/>
      <c r="I228" s="333"/>
    </row>
    <row r="229" spans="1:9" s="260" customFormat="1" ht="12.75" hidden="1" customHeight="1" x14ac:dyDescent="0.2">
      <c r="A229" s="194"/>
      <c r="B229" s="195"/>
      <c r="C229" s="230"/>
      <c r="D229" s="355" t="s">
        <v>358</v>
      </c>
      <c r="E229" s="197"/>
      <c r="F229" s="344"/>
      <c r="G229" s="197"/>
      <c r="H229" s="296"/>
      <c r="I229" s="338"/>
    </row>
    <row r="230" spans="1:9" s="260" customFormat="1" ht="12.75" hidden="1" customHeight="1" x14ac:dyDescent="0.2">
      <c r="A230" s="194"/>
      <c r="B230" s="195"/>
      <c r="C230" s="218"/>
      <c r="D230" s="276" t="s">
        <v>360</v>
      </c>
      <c r="E230" s="197"/>
      <c r="F230" s="344"/>
      <c r="G230" s="197"/>
      <c r="H230" s="259"/>
      <c r="I230" s="333"/>
    </row>
    <row r="231" spans="1:9" s="260" customFormat="1" ht="12.75" customHeight="1" x14ac:dyDescent="0.2">
      <c r="A231" s="198">
        <f>A221+1</f>
        <v>25</v>
      </c>
      <c r="B231" s="199">
        <v>3441</v>
      </c>
      <c r="C231" s="262" t="s">
        <v>228</v>
      </c>
      <c r="D231" s="277" t="str">
        <f>$D$12</f>
        <v>FTE December 2024</v>
      </c>
      <c r="E231" s="200">
        <f>'3441'!I$145</f>
        <v>367176.42</v>
      </c>
      <c r="F231" s="343"/>
      <c r="G231" s="200">
        <f>SUBTOTAL(109,E231:F239)</f>
        <v>360627.95</v>
      </c>
      <c r="H231" s="296"/>
    </row>
    <row r="232" spans="1:9" s="260" customFormat="1" ht="12.75" customHeight="1" x14ac:dyDescent="0.2">
      <c r="A232" s="198"/>
      <c r="B232" s="199"/>
      <c r="C232" s="262"/>
      <c r="D232" s="232" t="s">
        <v>278</v>
      </c>
      <c r="E232" s="200"/>
      <c r="F232" s="343">
        <v>-6548.47</v>
      </c>
      <c r="G232" s="200"/>
      <c r="H232" s="296"/>
    </row>
    <row r="233" spans="1:9" s="260" customFormat="1" ht="12.75" hidden="1" customHeight="1" x14ac:dyDescent="0.2">
      <c r="A233" s="198"/>
      <c r="B233" s="199"/>
      <c r="C233" s="219"/>
      <c r="D233" s="391" t="s">
        <v>491</v>
      </c>
      <c r="E233" s="200"/>
      <c r="F233" s="343"/>
      <c r="G233" s="200"/>
      <c r="H233" s="296"/>
      <c r="I233" s="195"/>
    </row>
    <row r="234" spans="1:9" s="260" customFormat="1" ht="12.75" hidden="1" customHeight="1" x14ac:dyDescent="0.2">
      <c r="A234" s="198"/>
      <c r="B234" s="199"/>
      <c r="C234" s="262"/>
      <c r="D234" s="232" t="s">
        <v>280</v>
      </c>
      <c r="E234" s="200"/>
      <c r="F234" s="343"/>
      <c r="G234" s="200"/>
      <c r="H234" s="296"/>
    </row>
    <row r="235" spans="1:9" s="260" customFormat="1" ht="12.75" hidden="1" customHeight="1" x14ac:dyDescent="0.2">
      <c r="A235" s="198"/>
      <c r="B235" s="199"/>
      <c r="C235" s="219"/>
      <c r="D235" s="232" t="s">
        <v>279</v>
      </c>
      <c r="E235" s="200"/>
      <c r="F235" s="343"/>
      <c r="G235" s="200"/>
      <c r="H235" s="296"/>
      <c r="I235" s="195"/>
    </row>
    <row r="236" spans="1:9" s="260" customFormat="1" ht="12.75" hidden="1" customHeight="1" x14ac:dyDescent="0.2">
      <c r="A236" s="198"/>
      <c r="B236" s="199"/>
      <c r="C236" s="219"/>
      <c r="D236" s="232" t="s">
        <v>288</v>
      </c>
      <c r="E236" s="200"/>
      <c r="F236" s="343"/>
      <c r="G236" s="200"/>
      <c r="H236" s="296"/>
      <c r="I236" s="195"/>
    </row>
    <row r="237" spans="1:9" s="260" customFormat="1" ht="12.75" hidden="1" customHeight="1" x14ac:dyDescent="0.2">
      <c r="A237" s="198"/>
      <c r="B237" s="199"/>
      <c r="C237" s="219"/>
      <c r="D237" s="232" t="s">
        <v>257</v>
      </c>
      <c r="E237" s="200"/>
      <c r="F237" s="343"/>
      <c r="G237" s="200"/>
      <c r="H237" s="296"/>
      <c r="I237" s="333"/>
    </row>
    <row r="238" spans="1:9" s="260" customFormat="1" ht="12.75" hidden="1" customHeight="1" x14ac:dyDescent="0.2">
      <c r="A238" s="198"/>
      <c r="B238" s="199"/>
      <c r="C238" s="219"/>
      <c r="D238" s="232" t="s">
        <v>302</v>
      </c>
      <c r="E238" s="200"/>
      <c r="F238" s="343"/>
      <c r="G238" s="200"/>
      <c r="H238" s="296"/>
      <c r="I238" s="284"/>
    </row>
    <row r="239" spans="1:9" s="260" customFormat="1" ht="12.75" hidden="1" customHeight="1" x14ac:dyDescent="0.2">
      <c r="A239" s="198"/>
      <c r="B239" s="199"/>
      <c r="C239" s="219"/>
      <c r="D239" s="278" t="s">
        <v>345</v>
      </c>
      <c r="E239" s="200"/>
      <c r="F239" s="343"/>
      <c r="G239" s="200"/>
      <c r="H239" s="296"/>
      <c r="I239" s="338"/>
    </row>
    <row r="240" spans="1:9" s="260" customFormat="1" ht="12.75" customHeight="1" x14ac:dyDescent="0.2">
      <c r="A240" s="194">
        <f>A231+1</f>
        <v>26</v>
      </c>
      <c r="B240" s="195">
        <v>3924</v>
      </c>
      <c r="C240" s="261" t="s">
        <v>376</v>
      </c>
      <c r="D240" s="513" t="str">
        <f>$D$12</f>
        <v>FTE December 2024</v>
      </c>
      <c r="E240" s="197">
        <f>'3924'!I$145</f>
        <v>292239.55</v>
      </c>
      <c r="F240" s="344"/>
      <c r="G240" s="197">
        <f>SUBTOTAL(109,E240:F249)</f>
        <v>290199.38</v>
      </c>
      <c r="H240" s="296"/>
    </row>
    <row r="241" spans="1:9" s="260" customFormat="1" ht="12.75" customHeight="1" x14ac:dyDescent="0.2">
      <c r="A241" s="194"/>
      <c r="B241" s="195"/>
      <c r="C241" s="218"/>
      <c r="D241" s="231" t="s">
        <v>554</v>
      </c>
      <c r="E241" s="197"/>
      <c r="F241" s="344">
        <v>-2040.17</v>
      </c>
      <c r="G241" s="197"/>
      <c r="H241" s="296"/>
    </row>
    <row r="242" spans="1:9" s="260" customFormat="1" ht="12.75" hidden="1" customHeight="1" x14ac:dyDescent="0.2">
      <c r="A242" s="194"/>
      <c r="B242" s="195"/>
      <c r="C242" s="218"/>
      <c r="D242" s="354" t="s">
        <v>491</v>
      </c>
      <c r="E242" s="197"/>
      <c r="F242" s="344"/>
      <c r="G242" s="197"/>
      <c r="H242" s="296"/>
    </row>
    <row r="243" spans="1:9" s="260" customFormat="1" ht="12.75" hidden="1" customHeight="1" x14ac:dyDescent="0.2">
      <c r="A243" s="194"/>
      <c r="B243" s="195"/>
      <c r="C243" s="218"/>
      <c r="D243" s="354" t="s">
        <v>361</v>
      </c>
      <c r="E243" s="197"/>
      <c r="F243" s="344"/>
      <c r="G243" s="197"/>
      <c r="H243" s="259"/>
      <c r="I243" s="230"/>
    </row>
    <row r="244" spans="1:9" s="260" customFormat="1" ht="12.75" hidden="1" customHeight="1" x14ac:dyDescent="0.2">
      <c r="A244" s="194"/>
      <c r="B244" s="195"/>
      <c r="C244" s="218"/>
      <c r="D244" s="231" t="s">
        <v>280</v>
      </c>
      <c r="E244" s="197"/>
      <c r="F244" s="344"/>
      <c r="G244" s="197"/>
      <c r="H244" s="296"/>
    </row>
    <row r="245" spans="1:9" s="260" customFormat="1" ht="12.75" hidden="1" customHeight="1" x14ac:dyDescent="0.2">
      <c r="A245" s="194"/>
      <c r="B245" s="195"/>
      <c r="C245" s="218"/>
      <c r="D245" s="231" t="s">
        <v>279</v>
      </c>
      <c r="E245" s="197"/>
      <c r="F245" s="344"/>
      <c r="G245" s="197"/>
      <c r="H245" s="296"/>
    </row>
    <row r="246" spans="1:9" s="260" customFormat="1" ht="12.75" hidden="1" customHeight="1" x14ac:dyDescent="0.2">
      <c r="A246" s="194"/>
      <c r="B246" s="195"/>
      <c r="C246" s="218"/>
      <c r="D246" s="231" t="s">
        <v>288</v>
      </c>
      <c r="E246" s="197"/>
      <c r="F246" s="344"/>
      <c r="G246" s="197"/>
      <c r="H246" s="296"/>
      <c r="I246" s="195"/>
    </row>
    <row r="247" spans="1:9" s="260" customFormat="1" ht="12.75" hidden="1" customHeight="1" x14ac:dyDescent="0.2">
      <c r="A247" s="194"/>
      <c r="B247" s="195"/>
      <c r="C247" s="218"/>
      <c r="D247" s="231" t="s">
        <v>257</v>
      </c>
      <c r="E247" s="197"/>
      <c r="F247" s="344"/>
      <c r="G247" s="197"/>
      <c r="H247" s="259"/>
      <c r="I247" s="333"/>
    </row>
    <row r="248" spans="1:9" s="260" customFormat="1" ht="12.75" hidden="1" customHeight="1" x14ac:dyDescent="0.2">
      <c r="A248" s="194"/>
      <c r="B248" s="195"/>
      <c r="C248" s="230"/>
      <c r="D248" s="355" t="s">
        <v>358</v>
      </c>
      <c r="E248" s="197"/>
      <c r="F248" s="344"/>
      <c r="G248" s="197"/>
      <c r="H248" s="296"/>
    </row>
    <row r="249" spans="1:9" s="260" customFormat="1" ht="12.75" hidden="1" customHeight="1" x14ac:dyDescent="0.2">
      <c r="A249" s="194"/>
      <c r="B249" s="195"/>
      <c r="C249" s="218"/>
      <c r="D249" s="276" t="s">
        <v>389</v>
      </c>
      <c r="E249" s="197"/>
      <c r="F249" s="344"/>
      <c r="G249" s="197"/>
      <c r="H249" s="296"/>
    </row>
    <row r="250" spans="1:9" s="260" customFormat="1" ht="12.75" customHeight="1" x14ac:dyDescent="0.2">
      <c r="A250" s="198">
        <f>A240+1</f>
        <v>27</v>
      </c>
      <c r="B250" s="199" t="s">
        <v>180</v>
      </c>
      <c r="C250" s="219" t="s">
        <v>191</v>
      </c>
      <c r="D250" s="277" t="str">
        <f>$D$12</f>
        <v>FTE December 2024</v>
      </c>
      <c r="E250" s="200">
        <f>'3941'!I$145</f>
        <v>155101.01</v>
      </c>
      <c r="F250" s="343"/>
      <c r="G250" s="200">
        <f>SUBTOTAL(109,E250:F259)</f>
        <v>155409.54</v>
      </c>
      <c r="H250" s="296"/>
    </row>
    <row r="251" spans="1:9" s="260" customFormat="1" ht="12.75" customHeight="1" x14ac:dyDescent="0.2">
      <c r="A251" s="198"/>
      <c r="B251" s="199"/>
      <c r="C251" s="219"/>
      <c r="D251" s="232" t="s">
        <v>278</v>
      </c>
      <c r="E251" s="200"/>
      <c r="F251" s="343">
        <v>308.52999999999997</v>
      </c>
      <c r="G251" s="200"/>
      <c r="H251" s="296"/>
    </row>
    <row r="252" spans="1:9" s="260" customFormat="1" ht="12.75" hidden="1" customHeight="1" x14ac:dyDescent="0.2">
      <c r="A252" s="198"/>
      <c r="B252" s="199"/>
      <c r="C252" s="219"/>
      <c r="D252" s="391" t="s">
        <v>491</v>
      </c>
      <c r="E252" s="200"/>
      <c r="F252" s="343"/>
      <c r="G252" s="200"/>
      <c r="H252" s="296"/>
      <c r="I252" s="195"/>
    </row>
    <row r="253" spans="1:9" s="260" customFormat="1" ht="12.75" hidden="1" customHeight="1" x14ac:dyDescent="0.2">
      <c r="A253" s="198"/>
      <c r="B253" s="199"/>
      <c r="C253" s="219"/>
      <c r="D253" s="232" t="s">
        <v>280</v>
      </c>
      <c r="E253" s="200"/>
      <c r="F253" s="343"/>
      <c r="G253" s="200"/>
      <c r="H253" s="296"/>
      <c r="I253" s="195"/>
    </row>
    <row r="254" spans="1:9" s="260" customFormat="1" ht="12.75" hidden="1" customHeight="1" x14ac:dyDescent="0.2">
      <c r="A254" s="198"/>
      <c r="B254" s="199"/>
      <c r="C254" s="219"/>
      <c r="D254" s="232" t="s">
        <v>279</v>
      </c>
      <c r="E254" s="200"/>
      <c r="F254" s="343"/>
      <c r="G254" s="200"/>
      <c r="H254" s="296"/>
    </row>
    <row r="255" spans="1:9" s="260" customFormat="1" ht="12.75" hidden="1" customHeight="1" x14ac:dyDescent="0.2">
      <c r="A255" s="198"/>
      <c r="B255" s="199"/>
      <c r="C255" s="219"/>
      <c r="D255" s="232" t="s">
        <v>288</v>
      </c>
      <c r="E255" s="200"/>
      <c r="F255" s="343"/>
      <c r="G255" s="200"/>
      <c r="H255" s="296"/>
    </row>
    <row r="256" spans="1:9" s="260" customFormat="1" ht="12.75" hidden="1" customHeight="1" x14ac:dyDescent="0.2">
      <c r="A256" s="198"/>
      <c r="B256" s="199"/>
      <c r="C256" s="219"/>
      <c r="D256" s="232" t="s">
        <v>257</v>
      </c>
      <c r="E256" s="200"/>
      <c r="F256" s="343"/>
      <c r="G256" s="200"/>
      <c r="H256" s="296"/>
    </row>
    <row r="257" spans="1:9" s="260" customFormat="1" ht="12.75" hidden="1" customHeight="1" x14ac:dyDescent="0.2">
      <c r="A257" s="198"/>
      <c r="B257" s="199"/>
      <c r="C257" s="219"/>
      <c r="D257" s="232" t="s">
        <v>339</v>
      </c>
      <c r="E257" s="200"/>
      <c r="F257" s="343"/>
      <c r="G257" s="200"/>
      <c r="H257" s="296"/>
      <c r="I257" s="333"/>
    </row>
    <row r="258" spans="1:9" s="260" customFormat="1" ht="12.75" hidden="1" customHeight="1" x14ac:dyDescent="0.2">
      <c r="A258" s="198"/>
      <c r="B258" s="199"/>
      <c r="C258" s="219"/>
      <c r="D258" s="232" t="s">
        <v>358</v>
      </c>
      <c r="E258" s="200"/>
      <c r="F258" s="343"/>
      <c r="G258" s="200"/>
      <c r="H258" s="296"/>
      <c r="I258" s="338"/>
    </row>
    <row r="259" spans="1:9" s="260" customFormat="1" ht="12.75" hidden="1" customHeight="1" x14ac:dyDescent="0.2">
      <c r="A259" s="198"/>
      <c r="B259" s="199"/>
      <c r="C259" s="219"/>
      <c r="D259" s="232"/>
      <c r="E259" s="200"/>
      <c r="F259" s="343"/>
      <c r="G259" s="200"/>
      <c r="H259" s="296"/>
      <c r="I259" s="333"/>
    </row>
    <row r="260" spans="1:9" s="260" customFormat="1" ht="12.75" customHeight="1" x14ac:dyDescent="0.2">
      <c r="A260" s="194">
        <f>A250+1</f>
        <v>28</v>
      </c>
      <c r="B260" s="195" t="s">
        <v>181</v>
      </c>
      <c r="C260" s="218" t="s">
        <v>201</v>
      </c>
      <c r="D260" s="513" t="str">
        <f>$D$12</f>
        <v>FTE December 2024</v>
      </c>
      <c r="E260" s="197">
        <f>'3961'!I$145</f>
        <v>192742.05</v>
      </c>
      <c r="F260" s="344"/>
      <c r="G260" s="197">
        <f>SUBTOTAL(109,E260:F267)</f>
        <v>193042.24</v>
      </c>
      <c r="H260" s="296"/>
    </row>
    <row r="261" spans="1:9" s="260" customFormat="1" ht="12.75" customHeight="1" x14ac:dyDescent="0.2">
      <c r="A261" s="194"/>
      <c r="B261" s="195"/>
      <c r="C261" s="218"/>
      <c r="D261" s="231" t="s">
        <v>554</v>
      </c>
      <c r="E261" s="197"/>
      <c r="F261" s="344">
        <v>300.19</v>
      </c>
      <c r="G261" s="197"/>
      <c r="H261" s="296"/>
    </row>
    <row r="262" spans="1:9" s="260" customFormat="1" ht="12.75" hidden="1" customHeight="1" x14ac:dyDescent="0.2">
      <c r="A262" s="194"/>
      <c r="B262" s="195"/>
      <c r="C262" s="218"/>
      <c r="D262" s="354" t="s">
        <v>491</v>
      </c>
      <c r="E262" s="197"/>
      <c r="F262" s="344"/>
      <c r="G262" s="197"/>
      <c r="H262" s="296"/>
      <c r="I262" s="195"/>
    </row>
    <row r="263" spans="1:9" s="260" customFormat="1" ht="12.75" hidden="1" customHeight="1" x14ac:dyDescent="0.2">
      <c r="A263" s="194"/>
      <c r="B263" s="195"/>
      <c r="C263" s="218"/>
      <c r="D263" s="231" t="s">
        <v>280</v>
      </c>
      <c r="E263" s="197"/>
      <c r="F263" s="344"/>
      <c r="G263" s="197"/>
      <c r="H263" s="296"/>
    </row>
    <row r="264" spans="1:9" s="260" customFormat="1" ht="12.75" hidden="1" customHeight="1" x14ac:dyDescent="0.2">
      <c r="A264" s="194"/>
      <c r="B264" s="195"/>
      <c r="C264" s="218"/>
      <c r="D264" s="231" t="s">
        <v>279</v>
      </c>
      <c r="E264" s="197"/>
      <c r="F264" s="344"/>
      <c r="G264" s="197"/>
      <c r="H264" s="296"/>
    </row>
    <row r="265" spans="1:9" s="260" customFormat="1" ht="12.75" hidden="1" customHeight="1" x14ac:dyDescent="0.2">
      <c r="A265" s="194"/>
      <c r="B265" s="195"/>
      <c r="C265" s="218"/>
      <c r="D265" s="231" t="s">
        <v>288</v>
      </c>
      <c r="E265" s="197"/>
      <c r="F265" s="344"/>
      <c r="G265" s="197"/>
      <c r="H265" s="296"/>
    </row>
    <row r="266" spans="1:9" s="260" customFormat="1" ht="12.75" hidden="1" customHeight="1" x14ac:dyDescent="0.2">
      <c r="A266" s="194"/>
      <c r="B266" s="195"/>
      <c r="C266" s="218"/>
      <c r="D266" s="231" t="s">
        <v>257</v>
      </c>
      <c r="E266" s="197"/>
      <c r="F266" s="344"/>
      <c r="G266" s="197"/>
      <c r="H266" s="259"/>
      <c r="I266" s="333"/>
    </row>
    <row r="267" spans="1:9" s="260" customFormat="1" ht="12.75" hidden="1" customHeight="1" x14ac:dyDescent="0.2">
      <c r="A267" s="194"/>
      <c r="B267" s="195"/>
      <c r="C267" s="230"/>
      <c r="D267" s="276" t="s">
        <v>359</v>
      </c>
      <c r="E267" s="197"/>
      <c r="F267" s="344"/>
      <c r="G267" s="197"/>
      <c r="H267" s="259"/>
      <c r="I267" s="333"/>
    </row>
    <row r="268" spans="1:9" s="260" customFormat="1" ht="12.75" customHeight="1" x14ac:dyDescent="0.2">
      <c r="A268" s="198">
        <f>A260+1</f>
        <v>29</v>
      </c>
      <c r="B268" s="199" t="s">
        <v>182</v>
      </c>
      <c r="C268" s="219" t="s">
        <v>340</v>
      </c>
      <c r="D268" s="277" t="str">
        <f>$D$12</f>
        <v>FTE December 2024</v>
      </c>
      <c r="E268" s="200">
        <f>'3971'!I$145</f>
        <v>422865.75</v>
      </c>
      <c r="F268" s="343"/>
      <c r="G268" s="200">
        <f>SUBTOTAL(109,E268:F275)</f>
        <v>414363.03</v>
      </c>
      <c r="H268" s="259"/>
      <c r="I268" s="333"/>
    </row>
    <row r="269" spans="1:9" s="260" customFormat="1" ht="12.75" customHeight="1" x14ac:dyDescent="0.2">
      <c r="A269" s="198"/>
      <c r="B269" s="199"/>
      <c r="C269" s="219"/>
      <c r="D269" s="232" t="s">
        <v>278</v>
      </c>
      <c r="E269" s="200"/>
      <c r="F269" s="343">
        <v>-8502.7199999999993</v>
      </c>
      <c r="G269" s="200"/>
      <c r="H269" s="296"/>
    </row>
    <row r="270" spans="1:9" s="260" customFormat="1" ht="12.75" hidden="1" customHeight="1" x14ac:dyDescent="0.2">
      <c r="A270" s="198"/>
      <c r="B270" s="199"/>
      <c r="C270" s="219"/>
      <c r="D270" s="391" t="s">
        <v>491</v>
      </c>
      <c r="E270" s="200"/>
      <c r="F270" s="343"/>
      <c r="G270" s="200"/>
      <c r="H270" s="296"/>
    </row>
    <row r="271" spans="1:9" s="260" customFormat="1" ht="12.75" hidden="1" customHeight="1" x14ac:dyDescent="0.2">
      <c r="A271" s="198"/>
      <c r="B271" s="199"/>
      <c r="C271" s="219"/>
      <c r="D271" s="232" t="s">
        <v>280</v>
      </c>
      <c r="E271" s="200"/>
      <c r="F271" s="343"/>
      <c r="G271" s="200"/>
      <c r="H271" s="296"/>
    </row>
    <row r="272" spans="1:9" s="260" customFormat="1" ht="12.75" hidden="1" customHeight="1" x14ac:dyDescent="0.2">
      <c r="A272" s="198"/>
      <c r="B272" s="199"/>
      <c r="C272" s="219"/>
      <c r="D272" s="232" t="s">
        <v>279</v>
      </c>
      <c r="E272" s="200"/>
      <c r="F272" s="343"/>
      <c r="G272" s="200"/>
      <c r="H272" s="296"/>
      <c r="I272" s="195"/>
    </row>
    <row r="273" spans="1:9" s="260" customFormat="1" ht="12.75" hidden="1" customHeight="1" x14ac:dyDescent="0.2">
      <c r="A273" s="198"/>
      <c r="B273" s="199"/>
      <c r="C273" s="219"/>
      <c r="D273" s="232" t="s">
        <v>288</v>
      </c>
      <c r="E273" s="200"/>
      <c r="F273" s="343"/>
      <c r="G273" s="200"/>
      <c r="H273" s="296"/>
    </row>
    <row r="274" spans="1:9" s="260" customFormat="1" ht="12.75" hidden="1" customHeight="1" x14ac:dyDescent="0.2">
      <c r="A274" s="198"/>
      <c r="B274" s="199"/>
      <c r="C274" s="219"/>
      <c r="D274" s="232" t="s">
        <v>257</v>
      </c>
      <c r="E274" s="200"/>
      <c r="F274" s="343"/>
      <c r="G274" s="200"/>
      <c r="H274" s="296"/>
    </row>
    <row r="275" spans="1:9" s="260" customFormat="1" ht="12.75" hidden="1" customHeight="1" x14ac:dyDescent="0.2">
      <c r="A275" s="198"/>
      <c r="B275" s="199"/>
      <c r="C275" s="219"/>
      <c r="D275" s="278" t="s">
        <v>365</v>
      </c>
      <c r="E275" s="200"/>
      <c r="F275" s="343"/>
      <c r="G275" s="200"/>
      <c r="H275" s="296"/>
      <c r="I275" s="188"/>
    </row>
    <row r="276" spans="1:9" s="260" customFormat="1" ht="12.75" customHeight="1" x14ac:dyDescent="0.2">
      <c r="A276" s="194">
        <f>A268+1</f>
        <v>30</v>
      </c>
      <c r="B276" s="195" t="s">
        <v>183</v>
      </c>
      <c r="C276" s="218" t="s">
        <v>219</v>
      </c>
      <c r="D276" s="513" t="str">
        <f>$D$12</f>
        <v>FTE December 2024</v>
      </c>
      <c r="E276" s="383">
        <f>'4001'!I$145</f>
        <v>476778.75</v>
      </c>
      <c r="F276" s="344"/>
      <c r="G276" s="197">
        <f>SUBTOTAL(109,E276:F284)</f>
        <v>482971.79</v>
      </c>
      <c r="H276" s="296"/>
      <c r="I276" s="333"/>
    </row>
    <row r="277" spans="1:9" ht="12.75" customHeight="1" x14ac:dyDescent="0.2">
      <c r="A277" s="194"/>
      <c r="B277" s="195"/>
      <c r="C277" s="218"/>
      <c r="D277" s="231" t="s">
        <v>554</v>
      </c>
      <c r="E277" s="197"/>
      <c r="F277" s="455">
        <v>6193.04</v>
      </c>
      <c r="G277" s="197"/>
      <c r="H277" s="297"/>
      <c r="I277" s="260"/>
    </row>
    <row r="278" spans="1:9" s="260" customFormat="1" ht="12.75" hidden="1" customHeight="1" x14ac:dyDescent="0.2">
      <c r="A278" s="194"/>
      <c r="B278" s="195"/>
      <c r="C278" s="218"/>
      <c r="D278" s="354" t="s">
        <v>491</v>
      </c>
      <c r="E278" s="197"/>
      <c r="F278" s="344"/>
      <c r="G278" s="197"/>
      <c r="H278" s="296"/>
    </row>
    <row r="279" spans="1:9" s="260" customFormat="1" ht="12.75" hidden="1" customHeight="1" x14ac:dyDescent="0.2">
      <c r="A279" s="194"/>
      <c r="B279" s="195"/>
      <c r="C279" s="218"/>
      <c r="D279" s="231" t="s">
        <v>280</v>
      </c>
      <c r="E279" s="197"/>
      <c r="F279" s="344"/>
      <c r="G279" s="197"/>
      <c r="H279" s="296"/>
    </row>
    <row r="280" spans="1:9" s="260" customFormat="1" ht="12.75" hidden="1" customHeight="1" x14ac:dyDescent="0.2">
      <c r="A280" s="194"/>
      <c r="B280" s="195"/>
      <c r="C280" s="218"/>
      <c r="D280" s="231" t="s">
        <v>279</v>
      </c>
      <c r="E280" s="197"/>
      <c r="F280" s="344"/>
      <c r="G280" s="197"/>
      <c r="H280" s="296"/>
      <c r="I280" s="195"/>
    </row>
    <row r="281" spans="1:9" s="260" customFormat="1" ht="12.75" hidden="1" customHeight="1" x14ac:dyDescent="0.2">
      <c r="A281" s="194"/>
      <c r="B281" s="195"/>
      <c r="C281" s="218"/>
      <c r="D281" s="231" t="s">
        <v>288</v>
      </c>
      <c r="E281" s="197"/>
      <c r="F281" s="344"/>
      <c r="G281" s="197"/>
      <c r="H281" s="296"/>
    </row>
    <row r="282" spans="1:9" s="260" customFormat="1" ht="12.75" hidden="1" customHeight="1" x14ac:dyDescent="0.2">
      <c r="A282" s="194"/>
      <c r="B282" s="195"/>
      <c r="C282" s="218"/>
      <c r="D282" s="231" t="s">
        <v>257</v>
      </c>
      <c r="E282" s="197"/>
      <c r="F282" s="344"/>
      <c r="G282" s="197"/>
      <c r="H282" s="296"/>
    </row>
    <row r="283" spans="1:9" s="260" customFormat="1" ht="12.75" hidden="1" customHeight="1" x14ac:dyDescent="0.2">
      <c r="A283" s="194"/>
      <c r="B283" s="195"/>
      <c r="C283" s="218"/>
      <c r="D283" s="231" t="s">
        <v>358</v>
      </c>
      <c r="E283" s="197"/>
      <c r="F283" s="344"/>
      <c r="G283" s="197"/>
      <c r="H283" s="296"/>
    </row>
    <row r="284" spans="1:9" s="260" customFormat="1" ht="12.75" hidden="1" customHeight="1" x14ac:dyDescent="0.2">
      <c r="A284" s="194"/>
      <c r="B284" s="195"/>
      <c r="C284" s="218"/>
      <c r="D284" s="276" t="s">
        <v>345</v>
      </c>
      <c r="E284" s="197"/>
      <c r="F284" s="344"/>
      <c r="G284" s="197"/>
      <c r="H284" s="259"/>
      <c r="I284" s="333"/>
    </row>
    <row r="285" spans="1:9" s="260" customFormat="1" ht="12.75" customHeight="1" x14ac:dyDescent="0.2">
      <c r="A285" s="198">
        <f>A276+1</f>
        <v>31</v>
      </c>
      <c r="B285" s="199">
        <v>4002</v>
      </c>
      <c r="C285" s="219" t="s">
        <v>218</v>
      </c>
      <c r="D285" s="277" t="str">
        <f>$D$12</f>
        <v>FTE December 2024</v>
      </c>
      <c r="E285" s="200">
        <f>'4002'!I$145</f>
        <v>662598.02</v>
      </c>
      <c r="F285" s="343"/>
      <c r="G285" s="200">
        <f>SUBTOTAL(109,E285:F294)</f>
        <v>659405.19000000006</v>
      </c>
      <c r="H285" s="296"/>
    </row>
    <row r="286" spans="1:9" s="260" customFormat="1" ht="12.75" customHeight="1" x14ac:dyDescent="0.2">
      <c r="A286" s="198"/>
      <c r="B286" s="199"/>
      <c r="C286" s="219"/>
      <c r="D286" s="232" t="s">
        <v>278</v>
      </c>
      <c r="E286" s="200"/>
      <c r="F286" s="343">
        <v>-3192.83</v>
      </c>
      <c r="G286" s="200"/>
      <c r="H286" s="296"/>
    </row>
    <row r="287" spans="1:9" s="260" customFormat="1" ht="12.75" hidden="1" customHeight="1" x14ac:dyDescent="0.2">
      <c r="A287" s="198"/>
      <c r="B287" s="199"/>
      <c r="C287" s="219"/>
      <c r="D287" s="391" t="s">
        <v>491</v>
      </c>
      <c r="E287" s="200"/>
      <c r="F287" s="343"/>
      <c r="G287" s="200"/>
      <c r="H287" s="296"/>
    </row>
    <row r="288" spans="1:9" s="260" customFormat="1" ht="12.75" hidden="1" customHeight="1" x14ac:dyDescent="0.2">
      <c r="A288" s="198"/>
      <c r="B288" s="199"/>
      <c r="C288" s="219"/>
      <c r="D288" s="232" t="s">
        <v>280</v>
      </c>
      <c r="E288" s="200"/>
      <c r="F288" s="343"/>
      <c r="G288" s="200"/>
      <c r="H288" s="296"/>
      <c r="I288" s="195"/>
    </row>
    <row r="289" spans="1:9" s="260" customFormat="1" ht="12.75" hidden="1" customHeight="1" x14ac:dyDescent="0.2">
      <c r="A289" s="198"/>
      <c r="B289" s="199"/>
      <c r="C289" s="219"/>
      <c r="D289" s="232" t="s">
        <v>279</v>
      </c>
      <c r="E289" s="200"/>
      <c r="F289" s="343"/>
      <c r="G289" s="200"/>
      <c r="H289" s="296"/>
    </row>
    <row r="290" spans="1:9" s="260" customFormat="1" ht="12.75" hidden="1" customHeight="1" x14ac:dyDescent="0.2">
      <c r="A290" s="198"/>
      <c r="B290" s="199"/>
      <c r="C290" s="219"/>
      <c r="D290" s="232" t="s">
        <v>288</v>
      </c>
      <c r="E290" s="200"/>
      <c r="F290" s="343"/>
      <c r="G290" s="200"/>
      <c r="H290" s="296"/>
    </row>
    <row r="291" spans="1:9" s="260" customFormat="1" ht="12.75" hidden="1" customHeight="1" x14ac:dyDescent="0.2">
      <c r="A291" s="198"/>
      <c r="B291" s="199"/>
      <c r="C291" s="219"/>
      <c r="D291" s="232" t="s">
        <v>257</v>
      </c>
      <c r="E291" s="200"/>
      <c r="F291" s="343"/>
      <c r="G291" s="200"/>
      <c r="H291" s="296"/>
    </row>
    <row r="292" spans="1:9" s="260" customFormat="1" ht="12.75" hidden="1" customHeight="1" x14ac:dyDescent="0.2">
      <c r="A292" s="198"/>
      <c r="B292" s="199"/>
      <c r="C292" s="219"/>
      <c r="D292" s="232" t="s">
        <v>357</v>
      </c>
      <c r="E292" s="200"/>
      <c r="F292" s="343"/>
      <c r="G292" s="200"/>
      <c r="H292" s="259"/>
      <c r="I292" s="333"/>
    </row>
    <row r="293" spans="1:9" s="260" customFormat="1" ht="12.75" hidden="1" customHeight="1" x14ac:dyDescent="0.2">
      <c r="A293" s="198"/>
      <c r="B293" s="199"/>
      <c r="C293" s="219"/>
      <c r="D293" s="232" t="s">
        <v>358</v>
      </c>
      <c r="E293" s="200"/>
      <c r="F293" s="343"/>
      <c r="G293" s="200"/>
      <c r="H293" s="296"/>
      <c r="I293" s="333"/>
    </row>
    <row r="294" spans="1:9" s="260" customFormat="1" ht="12.75" hidden="1" customHeight="1" x14ac:dyDescent="0.2">
      <c r="A294" s="198"/>
      <c r="B294" s="199"/>
      <c r="C294" s="219"/>
      <c r="D294" s="232" t="s">
        <v>355</v>
      </c>
      <c r="E294" s="200"/>
      <c r="F294" s="343"/>
      <c r="G294" s="200"/>
      <c r="H294" s="296"/>
    </row>
    <row r="295" spans="1:9" s="260" customFormat="1" ht="12.75" customHeight="1" x14ac:dyDescent="0.2">
      <c r="A295" s="194">
        <f>A285+1</f>
        <v>32</v>
      </c>
      <c r="B295" s="195">
        <v>4012</v>
      </c>
      <c r="C295" s="218" t="s">
        <v>221</v>
      </c>
      <c r="D295" s="513" t="str">
        <f>$D$12</f>
        <v>FTE December 2024</v>
      </c>
      <c r="E295" s="197">
        <f>'4012'!I$145</f>
        <v>375074.97</v>
      </c>
      <c r="F295" s="344"/>
      <c r="G295" s="197">
        <f>SUBTOTAL(109,E295:F302)</f>
        <v>373802.00999999995</v>
      </c>
      <c r="H295" s="296"/>
    </row>
    <row r="296" spans="1:9" s="260" customFormat="1" ht="12.75" customHeight="1" x14ac:dyDescent="0.2">
      <c r="A296" s="194"/>
      <c r="B296" s="195"/>
      <c r="C296" s="218"/>
      <c r="D296" s="231" t="s">
        <v>554</v>
      </c>
      <c r="E296" s="197"/>
      <c r="F296" s="344">
        <v>-1272.96</v>
      </c>
      <c r="G296" s="197"/>
      <c r="H296" s="296"/>
    </row>
    <row r="297" spans="1:9" s="260" customFormat="1" ht="12.75" hidden="1" customHeight="1" x14ac:dyDescent="0.2">
      <c r="A297" s="194"/>
      <c r="B297" s="195"/>
      <c r="C297" s="218"/>
      <c r="D297" s="231" t="s">
        <v>491</v>
      </c>
      <c r="E297" s="197"/>
      <c r="F297" s="344"/>
      <c r="G297" s="197"/>
      <c r="H297" s="296"/>
      <c r="I297" s="195"/>
    </row>
    <row r="298" spans="1:9" s="260" customFormat="1" ht="12.75" hidden="1" customHeight="1" x14ac:dyDescent="0.2">
      <c r="A298" s="194"/>
      <c r="B298" s="195"/>
      <c r="C298" s="218"/>
      <c r="D298" s="231" t="s">
        <v>354</v>
      </c>
      <c r="E298" s="197"/>
      <c r="F298" s="344"/>
      <c r="G298" s="197"/>
      <c r="H298" s="296"/>
    </row>
    <row r="299" spans="1:9" s="260" customFormat="1" ht="12.75" hidden="1" customHeight="1" x14ac:dyDescent="0.2">
      <c r="A299" s="194"/>
      <c r="B299" s="195"/>
      <c r="C299" s="218"/>
      <c r="D299" s="231" t="s">
        <v>288</v>
      </c>
      <c r="E299" s="197"/>
      <c r="F299" s="344"/>
      <c r="G299" s="197"/>
      <c r="H299" s="296"/>
    </row>
    <row r="300" spans="1:9" s="260" customFormat="1" ht="12.75" hidden="1" customHeight="1" x14ac:dyDescent="0.2">
      <c r="A300" s="194"/>
      <c r="B300" s="195"/>
      <c r="C300" s="218"/>
      <c r="D300" s="231" t="s">
        <v>257</v>
      </c>
      <c r="E300" s="197"/>
      <c r="F300" s="344"/>
      <c r="G300" s="197"/>
      <c r="H300" s="296"/>
    </row>
    <row r="301" spans="1:9" s="260" customFormat="1" ht="12.75" hidden="1" customHeight="1" x14ac:dyDescent="0.2">
      <c r="A301" s="194"/>
      <c r="B301" s="195"/>
      <c r="C301" s="218"/>
      <c r="D301" s="231" t="s">
        <v>302</v>
      </c>
      <c r="E301" s="197"/>
      <c r="F301" s="344"/>
      <c r="G301" s="197"/>
      <c r="H301" s="296"/>
    </row>
    <row r="302" spans="1:9" s="260" customFormat="1" ht="12.75" hidden="1" customHeight="1" x14ac:dyDescent="0.2">
      <c r="A302" s="194"/>
      <c r="B302" s="195"/>
      <c r="C302" s="218"/>
      <c r="D302" s="276" t="s">
        <v>345</v>
      </c>
      <c r="E302" s="197"/>
      <c r="F302" s="344"/>
      <c r="G302" s="197"/>
      <c r="H302" s="296"/>
      <c r="I302" s="335"/>
    </row>
    <row r="303" spans="1:9" s="260" customFormat="1" ht="12.75" customHeight="1" x14ac:dyDescent="0.2">
      <c r="A303" s="198">
        <f>A295+1</f>
        <v>33</v>
      </c>
      <c r="B303" s="199">
        <v>4013</v>
      </c>
      <c r="C303" s="219" t="s">
        <v>223</v>
      </c>
      <c r="D303" s="277" t="str">
        <f>$D$12</f>
        <v>FTE December 2024</v>
      </c>
      <c r="E303" s="200">
        <f>'4013'!I$145</f>
        <v>680253.26</v>
      </c>
      <c r="F303" s="343"/>
      <c r="G303" s="200">
        <f>SUBTOTAL(109,E303:F311)</f>
        <v>671623.32000000007</v>
      </c>
      <c r="H303" s="296"/>
      <c r="I303" s="335"/>
    </row>
    <row r="304" spans="1:9" s="260" customFormat="1" ht="12.75" customHeight="1" x14ac:dyDescent="0.2">
      <c r="A304" s="198"/>
      <c r="B304" s="199"/>
      <c r="C304" s="219"/>
      <c r="D304" s="232" t="s">
        <v>278</v>
      </c>
      <c r="E304" s="200"/>
      <c r="F304" s="343">
        <v>-8629.94</v>
      </c>
      <c r="G304" s="200"/>
      <c r="H304" s="296"/>
    </row>
    <row r="305" spans="1:9" s="260" customFormat="1" ht="12.75" hidden="1" customHeight="1" x14ac:dyDescent="0.2">
      <c r="A305" s="198"/>
      <c r="B305" s="199"/>
      <c r="C305" s="219"/>
      <c r="D305" s="391" t="s">
        <v>491</v>
      </c>
      <c r="E305" s="200"/>
      <c r="F305" s="343"/>
      <c r="G305" s="200"/>
      <c r="H305" s="296"/>
    </row>
    <row r="306" spans="1:9" s="260" customFormat="1" ht="12.75" hidden="1" customHeight="1" x14ac:dyDescent="0.2">
      <c r="A306" s="198"/>
      <c r="B306" s="199"/>
      <c r="C306" s="219"/>
      <c r="D306" s="232" t="s">
        <v>280</v>
      </c>
      <c r="E306" s="200"/>
      <c r="F306" s="343"/>
      <c r="G306" s="200"/>
      <c r="H306" s="296"/>
    </row>
    <row r="307" spans="1:9" s="260" customFormat="1" ht="12.75" hidden="1" customHeight="1" x14ac:dyDescent="0.2">
      <c r="A307" s="198"/>
      <c r="B307" s="199"/>
      <c r="C307" s="219"/>
      <c r="D307" s="232" t="s">
        <v>354</v>
      </c>
      <c r="E307" s="200"/>
      <c r="F307" s="343"/>
      <c r="G307" s="200"/>
      <c r="H307" s="296"/>
    </row>
    <row r="308" spans="1:9" s="260" customFormat="1" ht="12.75" hidden="1" customHeight="1" x14ac:dyDescent="0.2">
      <c r="A308" s="198"/>
      <c r="B308" s="199"/>
      <c r="C308" s="219"/>
      <c r="D308" s="232" t="s">
        <v>288</v>
      </c>
      <c r="E308" s="200"/>
      <c r="F308" s="343"/>
      <c r="G308" s="200"/>
      <c r="H308" s="296"/>
    </row>
    <row r="309" spans="1:9" s="260" customFormat="1" ht="12.75" hidden="1" customHeight="1" x14ac:dyDescent="0.2">
      <c r="A309" s="198"/>
      <c r="B309" s="199"/>
      <c r="C309" s="219"/>
      <c r="D309" s="232" t="s">
        <v>257</v>
      </c>
      <c r="E309" s="200"/>
      <c r="F309" s="343"/>
      <c r="G309" s="200"/>
      <c r="H309" s="296"/>
    </row>
    <row r="310" spans="1:9" s="260" customFormat="1" ht="12.75" hidden="1" customHeight="1" x14ac:dyDescent="0.2">
      <c r="A310" s="198"/>
      <c r="B310" s="199"/>
      <c r="C310" s="219"/>
      <c r="D310" s="232" t="s">
        <v>358</v>
      </c>
      <c r="E310" s="200"/>
      <c r="F310" s="343"/>
      <c r="G310" s="200"/>
      <c r="H310" s="259"/>
      <c r="I310" s="333"/>
    </row>
    <row r="311" spans="1:9" s="260" customFormat="1" ht="12.75" hidden="1" customHeight="1" x14ac:dyDescent="0.2">
      <c r="A311" s="198"/>
      <c r="B311" s="199"/>
      <c r="C311" s="219"/>
      <c r="D311" s="232" t="s">
        <v>345</v>
      </c>
      <c r="E311" s="200"/>
      <c r="F311" s="343"/>
      <c r="G311" s="200"/>
      <c r="H311" s="296"/>
      <c r="I311" s="306"/>
    </row>
    <row r="312" spans="1:9" s="260" customFormat="1" ht="12.75" customHeight="1" x14ac:dyDescent="0.2">
      <c r="A312" s="194">
        <f>A303+1</f>
        <v>34</v>
      </c>
      <c r="B312" s="195">
        <v>4020</v>
      </c>
      <c r="C312" s="261" t="s">
        <v>347</v>
      </c>
      <c r="D312" s="513" t="str">
        <f>$D$12</f>
        <v>FTE December 2024</v>
      </c>
      <c r="E312" s="197">
        <f>'4020'!I$145</f>
        <v>925462.84</v>
      </c>
      <c r="F312" s="344"/>
      <c r="G312" s="197">
        <f>SUBTOTAL(109,E312:F320)</f>
        <v>919698.6</v>
      </c>
      <c r="H312" s="296"/>
      <c r="I312" s="306"/>
    </row>
    <row r="313" spans="1:9" s="260" customFormat="1" ht="12.75" customHeight="1" x14ac:dyDescent="0.2">
      <c r="A313" s="194"/>
      <c r="B313" s="195"/>
      <c r="C313" s="218"/>
      <c r="D313" s="231" t="s">
        <v>554</v>
      </c>
      <c r="E313" s="197"/>
      <c r="F313" s="344">
        <v>-5764.24</v>
      </c>
      <c r="G313" s="197"/>
      <c r="H313" s="296"/>
    </row>
    <row r="314" spans="1:9" s="260" customFormat="1" ht="12.75" hidden="1" customHeight="1" x14ac:dyDescent="0.2">
      <c r="A314" s="194"/>
      <c r="B314" s="195"/>
      <c r="C314" s="218"/>
      <c r="D314" s="354" t="s">
        <v>491</v>
      </c>
      <c r="E314" s="197"/>
      <c r="F314" s="344"/>
      <c r="G314" s="197"/>
      <c r="H314" s="296"/>
    </row>
    <row r="315" spans="1:9" s="260" customFormat="1" ht="12.75" hidden="1" customHeight="1" x14ac:dyDescent="0.2">
      <c r="A315" s="194"/>
      <c r="B315" s="195"/>
      <c r="C315" s="218"/>
      <c r="D315" s="231" t="s">
        <v>280</v>
      </c>
      <c r="E315" s="197"/>
      <c r="F315" s="344"/>
      <c r="G315" s="197"/>
      <c r="H315" s="296"/>
      <c r="I315" s="195"/>
    </row>
    <row r="316" spans="1:9" s="260" customFormat="1" ht="12.75" hidden="1" customHeight="1" x14ac:dyDescent="0.2">
      <c r="A316" s="194"/>
      <c r="B316" s="195"/>
      <c r="C316" s="218"/>
      <c r="D316" s="231" t="s">
        <v>354</v>
      </c>
      <c r="E316" s="197"/>
      <c r="F316" s="344"/>
      <c r="G316" s="197"/>
      <c r="H316" s="296"/>
    </row>
    <row r="317" spans="1:9" s="260" customFormat="1" ht="12.75" hidden="1" customHeight="1" x14ac:dyDescent="0.2">
      <c r="A317" s="194"/>
      <c r="B317" s="195"/>
      <c r="C317" s="218"/>
      <c r="D317" s="231" t="s">
        <v>288</v>
      </c>
      <c r="E317" s="197"/>
      <c r="F317" s="344"/>
      <c r="G317" s="197"/>
      <c r="H317" s="296"/>
    </row>
    <row r="318" spans="1:9" s="260" customFormat="1" ht="12.75" hidden="1" customHeight="1" x14ac:dyDescent="0.2">
      <c r="A318" s="194"/>
      <c r="B318" s="195"/>
      <c r="C318" s="218"/>
      <c r="D318" s="231" t="s">
        <v>257</v>
      </c>
      <c r="E318" s="197"/>
      <c r="F318" s="344"/>
      <c r="G318" s="197"/>
      <c r="H318" s="296"/>
    </row>
    <row r="319" spans="1:9" s="260" customFormat="1" ht="12.75" hidden="1" customHeight="1" x14ac:dyDescent="0.2">
      <c r="A319" s="194"/>
      <c r="B319" s="195"/>
      <c r="C319" s="218"/>
      <c r="D319" s="231" t="s">
        <v>357</v>
      </c>
      <c r="E319" s="197"/>
      <c r="F319" s="344"/>
      <c r="G319" s="197"/>
      <c r="H319" s="296"/>
    </row>
    <row r="320" spans="1:9" s="260" customFormat="1" ht="12.75" hidden="1" customHeight="1" x14ac:dyDescent="0.2">
      <c r="A320" s="194"/>
      <c r="B320" s="195"/>
      <c r="C320" s="218"/>
      <c r="D320" s="276" t="s">
        <v>345</v>
      </c>
      <c r="E320" s="197"/>
      <c r="F320" s="344"/>
      <c r="G320" s="197"/>
      <c r="H320" s="296"/>
      <c r="I320" s="335"/>
    </row>
    <row r="321" spans="1:9" s="260" customFormat="1" ht="12.75" customHeight="1" x14ac:dyDescent="0.2">
      <c r="A321" s="198">
        <f>A312+1</f>
        <v>35</v>
      </c>
      <c r="B321" s="199">
        <v>4030</v>
      </c>
      <c r="C321" s="219" t="s">
        <v>335</v>
      </c>
      <c r="D321" s="277" t="str">
        <f>$D$12</f>
        <v>FTE December 2024</v>
      </c>
      <c r="E321" s="200">
        <f>'4030'!I$145</f>
        <v>210714</v>
      </c>
      <c r="F321" s="343"/>
      <c r="G321" s="200">
        <f>SUBTOTAL(109,E321:F330)</f>
        <v>253537.69</v>
      </c>
      <c r="H321" s="296"/>
    </row>
    <row r="322" spans="1:9" s="260" customFormat="1" ht="12.75" customHeight="1" x14ac:dyDescent="0.2">
      <c r="A322" s="198"/>
      <c r="B322" s="199"/>
      <c r="C322" s="219"/>
      <c r="D322" s="232" t="s">
        <v>278</v>
      </c>
      <c r="E322" s="200"/>
      <c r="F322" s="343">
        <v>42823.69</v>
      </c>
      <c r="G322" s="200"/>
      <c r="H322" s="296"/>
    </row>
    <row r="323" spans="1:9" s="260" customFormat="1" ht="12.75" hidden="1" customHeight="1" x14ac:dyDescent="0.2">
      <c r="A323" s="198"/>
      <c r="B323" s="199"/>
      <c r="C323" s="219"/>
      <c r="D323" s="391" t="s">
        <v>491</v>
      </c>
      <c r="E323" s="200"/>
      <c r="F323" s="343"/>
      <c r="G323" s="200"/>
      <c r="H323" s="296"/>
    </row>
    <row r="324" spans="1:9" s="260" customFormat="1" ht="12.75" hidden="1" customHeight="1" x14ac:dyDescent="0.2">
      <c r="A324" s="198"/>
      <c r="B324" s="199"/>
      <c r="C324" s="219"/>
      <c r="D324" s="391" t="s">
        <v>361</v>
      </c>
      <c r="E324" s="200"/>
      <c r="F324" s="343"/>
      <c r="G324" s="200"/>
      <c r="H324" s="296"/>
      <c r="I324" s="195"/>
    </row>
    <row r="325" spans="1:9" s="260" customFormat="1" ht="12.75" hidden="1" customHeight="1" x14ac:dyDescent="0.2">
      <c r="A325" s="198"/>
      <c r="B325" s="199"/>
      <c r="C325" s="219"/>
      <c r="D325" s="232" t="s">
        <v>280</v>
      </c>
      <c r="E325" s="200"/>
      <c r="F325" s="343"/>
      <c r="G325" s="200"/>
      <c r="H325" s="296"/>
    </row>
    <row r="326" spans="1:9" s="260" customFormat="1" ht="12.75" hidden="1" customHeight="1" x14ac:dyDescent="0.2">
      <c r="A326" s="198"/>
      <c r="B326" s="199"/>
      <c r="C326" s="219"/>
      <c r="D326" s="232" t="s">
        <v>279</v>
      </c>
      <c r="E326" s="200"/>
      <c r="F326" s="343"/>
      <c r="G326" s="200"/>
      <c r="H326" s="296"/>
    </row>
    <row r="327" spans="1:9" s="260" customFormat="1" ht="12.75" hidden="1" customHeight="1" x14ac:dyDescent="0.2">
      <c r="A327" s="198"/>
      <c r="B327" s="199"/>
      <c r="C327" s="219"/>
      <c r="D327" s="232" t="s">
        <v>288</v>
      </c>
      <c r="E327" s="200"/>
      <c r="F327" s="343"/>
      <c r="G327" s="200"/>
      <c r="H327" s="296"/>
    </row>
    <row r="328" spans="1:9" s="260" customFormat="1" ht="12.75" hidden="1" customHeight="1" x14ac:dyDescent="0.2">
      <c r="A328" s="198"/>
      <c r="B328" s="199"/>
      <c r="C328" s="219"/>
      <c r="D328" s="232" t="s">
        <v>257</v>
      </c>
      <c r="E328" s="200"/>
      <c r="F328" s="343"/>
      <c r="G328" s="200"/>
      <c r="H328" s="259"/>
      <c r="I328" s="333"/>
    </row>
    <row r="329" spans="1:9" s="260" customFormat="1" ht="12.75" hidden="1" customHeight="1" x14ac:dyDescent="0.2">
      <c r="A329" s="198"/>
      <c r="B329" s="199"/>
      <c r="C329" s="219"/>
      <c r="D329" s="232" t="s">
        <v>358</v>
      </c>
      <c r="E329" s="200"/>
      <c r="F329" s="343"/>
      <c r="G329" s="200"/>
      <c r="H329" s="296"/>
      <c r="I329" s="335"/>
    </row>
    <row r="330" spans="1:9" s="260" customFormat="1" ht="12.75" hidden="1" customHeight="1" x14ac:dyDescent="0.2">
      <c r="A330" s="198"/>
      <c r="B330" s="199"/>
      <c r="C330" s="219"/>
      <c r="D330" s="232" t="s">
        <v>345</v>
      </c>
      <c r="E330" s="200"/>
      <c r="F330" s="343"/>
      <c r="G330" s="200"/>
      <c r="H330" s="296"/>
    </row>
    <row r="331" spans="1:9" s="260" customFormat="1" ht="12.75" customHeight="1" x14ac:dyDescent="0.2">
      <c r="A331" s="194">
        <f>A321+1</f>
        <v>36</v>
      </c>
      <c r="B331" s="195">
        <v>4031</v>
      </c>
      <c r="C331" s="261" t="s">
        <v>352</v>
      </c>
      <c r="D331" s="513" t="str">
        <f>$D$12</f>
        <v>FTE December 2024</v>
      </c>
      <c r="E331" s="197">
        <f>'4031'!I$145</f>
        <v>284716.40000000002</v>
      </c>
      <c r="F331" s="344"/>
      <c r="G331" s="197">
        <f>SUBTOTAL(109,E331:F340)</f>
        <v>286849.42000000004</v>
      </c>
      <c r="H331" s="296"/>
    </row>
    <row r="332" spans="1:9" s="260" customFormat="1" ht="12.75" customHeight="1" x14ac:dyDescent="0.2">
      <c r="A332" s="194"/>
      <c r="B332" s="195"/>
      <c r="C332" s="218"/>
      <c r="D332" s="231" t="s">
        <v>554</v>
      </c>
      <c r="E332" s="197"/>
      <c r="F332" s="344">
        <v>2133.02</v>
      </c>
      <c r="G332" s="197"/>
      <c r="H332" s="296"/>
    </row>
    <row r="333" spans="1:9" s="260" customFormat="1" ht="12.75" hidden="1" customHeight="1" x14ac:dyDescent="0.2">
      <c r="A333" s="194"/>
      <c r="B333" s="195"/>
      <c r="C333" s="218"/>
      <c r="D333" s="354" t="s">
        <v>491</v>
      </c>
      <c r="E333" s="197"/>
      <c r="F333" s="344"/>
      <c r="G333" s="197"/>
      <c r="H333" s="296"/>
      <c r="I333" s="195"/>
    </row>
    <row r="334" spans="1:9" s="260" customFormat="1" ht="12.75" hidden="1" customHeight="1" x14ac:dyDescent="0.2">
      <c r="A334" s="194"/>
      <c r="B334" s="195"/>
      <c r="C334" s="218"/>
      <c r="D334" s="354" t="s">
        <v>361</v>
      </c>
      <c r="E334" s="197"/>
      <c r="F334" s="344"/>
      <c r="G334" s="197"/>
      <c r="H334" s="296"/>
      <c r="I334" s="195"/>
    </row>
    <row r="335" spans="1:9" s="260" customFormat="1" ht="12.75" hidden="1" customHeight="1" x14ac:dyDescent="0.2">
      <c r="A335" s="194"/>
      <c r="B335" s="195"/>
      <c r="C335" s="218"/>
      <c r="D335" s="231" t="s">
        <v>280</v>
      </c>
      <c r="E335" s="197"/>
      <c r="F335" s="344"/>
      <c r="G335" s="197"/>
      <c r="H335" s="296"/>
    </row>
    <row r="336" spans="1:9" s="260" customFormat="1" ht="12.75" hidden="1" customHeight="1" x14ac:dyDescent="0.2">
      <c r="A336" s="194"/>
      <c r="B336" s="195"/>
      <c r="C336" s="218"/>
      <c r="D336" s="231" t="s">
        <v>279</v>
      </c>
      <c r="E336" s="197"/>
      <c r="F336" s="344"/>
      <c r="G336" s="197"/>
      <c r="H336" s="296"/>
    </row>
    <row r="337" spans="1:9" s="260" customFormat="1" ht="12.75" hidden="1" customHeight="1" x14ac:dyDescent="0.2">
      <c r="A337" s="194"/>
      <c r="B337" s="195"/>
      <c r="C337" s="218"/>
      <c r="D337" s="231" t="s">
        <v>288</v>
      </c>
      <c r="E337" s="197"/>
      <c r="F337" s="344"/>
      <c r="G337" s="197"/>
      <c r="H337" s="296"/>
    </row>
    <row r="338" spans="1:9" s="260" customFormat="1" ht="12.75" hidden="1" customHeight="1" x14ac:dyDescent="0.2">
      <c r="A338" s="194"/>
      <c r="B338" s="195"/>
      <c r="C338" s="218"/>
      <c r="D338" s="231" t="s">
        <v>257</v>
      </c>
      <c r="E338" s="197"/>
      <c r="F338" s="344"/>
      <c r="G338" s="197"/>
      <c r="H338" s="296"/>
    </row>
    <row r="339" spans="1:9" s="260" customFormat="1" ht="12.75" hidden="1" customHeight="1" x14ac:dyDescent="0.2">
      <c r="A339" s="194"/>
      <c r="B339" s="195"/>
      <c r="C339" s="218"/>
      <c r="D339" s="231" t="s">
        <v>358</v>
      </c>
      <c r="E339" s="197"/>
      <c r="F339" s="344"/>
      <c r="G339" s="197"/>
      <c r="H339" s="296"/>
      <c r="I339" s="335"/>
    </row>
    <row r="340" spans="1:9" s="260" customFormat="1" ht="12.75" hidden="1" customHeight="1" x14ac:dyDescent="0.2">
      <c r="A340" s="194"/>
      <c r="B340" s="195"/>
      <c r="C340" s="218"/>
      <c r="D340" s="276" t="s">
        <v>345</v>
      </c>
      <c r="E340" s="197"/>
      <c r="F340" s="344"/>
      <c r="G340" s="197"/>
      <c r="H340" s="296"/>
    </row>
    <row r="341" spans="1:9" s="260" customFormat="1" ht="12.75" customHeight="1" x14ac:dyDescent="0.2">
      <c r="A341" s="198">
        <f>A331+1</f>
        <v>37</v>
      </c>
      <c r="B341" s="199">
        <v>4041</v>
      </c>
      <c r="C341" s="219" t="s">
        <v>225</v>
      </c>
      <c r="D341" s="277" t="str">
        <f>$D$12</f>
        <v>FTE December 2024</v>
      </c>
      <c r="E341" s="200">
        <f>'4041'!I$145</f>
        <v>65401.79</v>
      </c>
      <c r="F341" s="343"/>
      <c r="G341" s="200">
        <f>SUBTOTAL(109,E341:F351)</f>
        <v>62123.58</v>
      </c>
      <c r="H341" s="296"/>
    </row>
    <row r="342" spans="1:9" s="260" customFormat="1" ht="12.75" customHeight="1" x14ac:dyDescent="0.2">
      <c r="A342" s="198"/>
      <c r="B342" s="199"/>
      <c r="C342" s="219"/>
      <c r="D342" s="232" t="s">
        <v>278</v>
      </c>
      <c r="E342" s="200"/>
      <c r="F342" s="343">
        <v>-3278.21</v>
      </c>
      <c r="G342" s="200"/>
      <c r="H342" s="296"/>
    </row>
    <row r="343" spans="1:9" s="260" customFormat="1" ht="12.75" hidden="1" customHeight="1" x14ac:dyDescent="0.2">
      <c r="A343" s="198"/>
      <c r="B343" s="199"/>
      <c r="C343" s="219"/>
      <c r="D343" s="391" t="s">
        <v>491</v>
      </c>
      <c r="E343" s="200"/>
      <c r="F343" s="343"/>
      <c r="G343" s="200"/>
      <c r="H343" s="296"/>
      <c r="I343" s="195"/>
    </row>
    <row r="344" spans="1:9" s="260" customFormat="1" ht="12.75" hidden="1" customHeight="1" x14ac:dyDescent="0.2">
      <c r="A344" s="198"/>
      <c r="B344" s="199"/>
      <c r="C344" s="219"/>
      <c r="D344" s="391" t="s">
        <v>361</v>
      </c>
      <c r="E344" s="200"/>
      <c r="F344" s="343"/>
      <c r="G344" s="200"/>
      <c r="H344" s="296"/>
      <c r="I344" s="195"/>
    </row>
    <row r="345" spans="1:9" s="260" customFormat="1" ht="12.75" hidden="1" customHeight="1" x14ac:dyDescent="0.2">
      <c r="A345" s="198"/>
      <c r="B345" s="199"/>
      <c r="C345" s="219"/>
      <c r="D345" s="232" t="s">
        <v>280</v>
      </c>
      <c r="E345" s="200"/>
      <c r="F345" s="343"/>
      <c r="G345" s="200"/>
      <c r="H345" s="296"/>
    </row>
    <row r="346" spans="1:9" s="260" customFormat="1" ht="12.75" hidden="1" customHeight="1" x14ac:dyDescent="0.2">
      <c r="A346" s="198"/>
      <c r="B346" s="199"/>
      <c r="C346" s="219"/>
      <c r="D346" s="232" t="s">
        <v>279</v>
      </c>
      <c r="E346" s="200"/>
      <c r="F346" s="343"/>
      <c r="G346" s="200"/>
      <c r="H346" s="296"/>
    </row>
    <row r="347" spans="1:9" s="260" customFormat="1" ht="12.75" hidden="1" customHeight="1" x14ac:dyDescent="0.2">
      <c r="A347" s="198"/>
      <c r="B347" s="199"/>
      <c r="C347" s="219"/>
      <c r="D347" s="232" t="s">
        <v>288</v>
      </c>
      <c r="E347" s="200"/>
      <c r="F347" s="343"/>
      <c r="G347" s="200"/>
      <c r="H347" s="296"/>
      <c r="I347" s="195"/>
    </row>
    <row r="348" spans="1:9" s="260" customFormat="1" ht="12.75" hidden="1" customHeight="1" x14ac:dyDescent="0.2">
      <c r="A348" s="198"/>
      <c r="B348" s="199"/>
      <c r="C348" s="219"/>
      <c r="D348" s="232" t="s">
        <v>257</v>
      </c>
      <c r="E348" s="200"/>
      <c r="F348" s="343"/>
      <c r="G348" s="200"/>
      <c r="H348" s="296"/>
      <c r="I348" s="333"/>
    </row>
    <row r="349" spans="1:9" s="260" customFormat="1" ht="12.75" hidden="1" customHeight="1" x14ac:dyDescent="0.2">
      <c r="A349" s="198"/>
      <c r="B349" s="199"/>
      <c r="C349" s="219"/>
      <c r="D349" s="232" t="s">
        <v>302</v>
      </c>
      <c r="E349" s="200"/>
      <c r="F349" s="343"/>
      <c r="G349" s="200"/>
      <c r="H349" s="296"/>
      <c r="I349" s="335"/>
    </row>
    <row r="350" spans="1:9" s="260" customFormat="1" ht="12.75" hidden="1" customHeight="1" x14ac:dyDescent="0.2">
      <c r="A350" s="198"/>
      <c r="B350" s="199"/>
      <c r="C350" s="219"/>
      <c r="D350" s="232" t="s">
        <v>358</v>
      </c>
      <c r="E350" s="200"/>
      <c r="F350" s="343"/>
      <c r="G350" s="200"/>
      <c r="H350" s="296"/>
    </row>
    <row r="351" spans="1:9" s="260" customFormat="1" ht="12.75" hidden="1" customHeight="1" x14ac:dyDescent="0.2">
      <c r="A351" s="198"/>
      <c r="B351" s="199"/>
      <c r="C351" s="219"/>
      <c r="D351" s="232" t="s">
        <v>345</v>
      </c>
      <c r="E351" s="200"/>
      <c r="F351" s="343"/>
      <c r="G351" s="200"/>
      <c r="H351" s="296"/>
    </row>
    <row r="352" spans="1:9" s="260" customFormat="1" ht="12.75" customHeight="1" x14ac:dyDescent="0.2">
      <c r="A352" s="194">
        <f>A341+1</f>
        <v>38</v>
      </c>
      <c r="B352" s="263">
        <v>4050</v>
      </c>
      <c r="C352" s="264" t="s">
        <v>216</v>
      </c>
      <c r="D352" s="513" t="str">
        <f>$D$12</f>
        <v>FTE December 2024</v>
      </c>
      <c r="E352" s="197">
        <f>'4050'!I$145</f>
        <v>489528.4</v>
      </c>
      <c r="F352" s="344"/>
      <c r="G352" s="197">
        <f>SUBTOTAL(109,E352:F358)</f>
        <v>471559.84</v>
      </c>
      <c r="H352" s="296"/>
    </row>
    <row r="353" spans="1:9" s="260" customFormat="1" ht="12.75" customHeight="1" x14ac:dyDescent="0.2">
      <c r="A353" s="194"/>
      <c r="B353" s="263"/>
      <c r="C353" s="264"/>
      <c r="D353" s="231" t="s">
        <v>554</v>
      </c>
      <c r="E353" s="197"/>
      <c r="F353" s="344">
        <v>-17968.560000000001</v>
      </c>
      <c r="G353" s="197"/>
      <c r="H353" s="296"/>
      <c r="I353" s="195"/>
    </row>
    <row r="354" spans="1:9" s="260" customFormat="1" ht="12.75" hidden="1" customHeight="1" x14ac:dyDescent="0.2">
      <c r="A354" s="194"/>
      <c r="B354" s="263"/>
      <c r="C354" s="264"/>
      <c r="D354" s="231" t="s">
        <v>491</v>
      </c>
      <c r="E354" s="197"/>
      <c r="F354" s="344"/>
      <c r="G354" s="197"/>
      <c r="H354" s="296"/>
      <c r="I354" s="195"/>
    </row>
    <row r="355" spans="1:9" s="260" customFormat="1" ht="12.75" hidden="1" customHeight="1" x14ac:dyDescent="0.2">
      <c r="A355" s="194"/>
      <c r="B355" s="195"/>
      <c r="C355" s="218"/>
      <c r="D355" s="231" t="s">
        <v>279</v>
      </c>
      <c r="E355" s="197"/>
      <c r="F355" s="344"/>
      <c r="G355" s="197"/>
      <c r="H355" s="296"/>
    </row>
    <row r="356" spans="1:9" s="260" customFormat="1" ht="12.75" hidden="1" customHeight="1" x14ac:dyDescent="0.2">
      <c r="A356" s="194"/>
      <c r="B356" s="195"/>
      <c r="C356" s="218"/>
      <c r="D356" s="231" t="s">
        <v>288</v>
      </c>
      <c r="E356" s="197"/>
      <c r="F356" s="344"/>
      <c r="G356" s="197"/>
      <c r="H356" s="296"/>
    </row>
    <row r="357" spans="1:9" s="260" customFormat="1" ht="12.75" hidden="1" customHeight="1" x14ac:dyDescent="0.2">
      <c r="A357" s="194"/>
      <c r="B357" s="195"/>
      <c r="C357" s="218"/>
      <c r="D357" s="231" t="s">
        <v>257</v>
      </c>
      <c r="E357" s="197"/>
      <c r="F357" s="344"/>
      <c r="G357" s="197"/>
      <c r="H357" s="296"/>
    </row>
    <row r="358" spans="1:9" s="260" customFormat="1" ht="12.75" hidden="1" customHeight="1" x14ac:dyDescent="0.2">
      <c r="A358" s="194"/>
      <c r="B358" s="195"/>
      <c r="C358" s="218"/>
      <c r="D358" s="276" t="s">
        <v>345</v>
      </c>
      <c r="E358" s="197"/>
      <c r="F358" s="344"/>
      <c r="G358" s="197"/>
      <c r="H358" s="296"/>
    </row>
    <row r="359" spans="1:9" s="260" customFormat="1" ht="12.75" customHeight="1" x14ac:dyDescent="0.2">
      <c r="A359" s="198">
        <f>A352+1</f>
        <v>39</v>
      </c>
      <c r="B359" s="199">
        <v>4051</v>
      </c>
      <c r="C359" s="219" t="s">
        <v>214</v>
      </c>
      <c r="D359" s="277" t="str">
        <f>$D$12</f>
        <v>FTE December 2024</v>
      </c>
      <c r="E359" s="200">
        <f>'4051'!I$145</f>
        <v>501859.92</v>
      </c>
      <c r="F359" s="343"/>
      <c r="G359" s="200">
        <f>SUBTOTAL(109,E359:F367)</f>
        <v>513611.38</v>
      </c>
      <c r="H359" s="296"/>
    </row>
    <row r="360" spans="1:9" s="260" customFormat="1" ht="12.75" customHeight="1" x14ac:dyDescent="0.2">
      <c r="A360" s="198"/>
      <c r="B360" s="199"/>
      <c r="C360" s="219"/>
      <c r="D360" s="232" t="s">
        <v>278</v>
      </c>
      <c r="E360" s="200"/>
      <c r="F360" s="343">
        <v>11751.46</v>
      </c>
      <c r="G360" s="200"/>
      <c r="H360" s="296"/>
      <c r="I360" s="335"/>
    </row>
    <row r="361" spans="1:9" s="260" customFormat="1" ht="12.75" hidden="1" customHeight="1" x14ac:dyDescent="0.2">
      <c r="A361" s="198"/>
      <c r="B361" s="199"/>
      <c r="C361" s="219"/>
      <c r="D361" s="232" t="s">
        <v>491</v>
      </c>
      <c r="E361" s="200"/>
      <c r="F361" s="343"/>
      <c r="G361" s="200"/>
      <c r="H361" s="296"/>
    </row>
    <row r="362" spans="1:9" s="260" customFormat="1" ht="12.75" hidden="1" customHeight="1" x14ac:dyDescent="0.2">
      <c r="A362" s="198"/>
      <c r="B362" s="199"/>
      <c r="C362" s="219"/>
      <c r="D362" s="232" t="s">
        <v>279</v>
      </c>
      <c r="E362" s="200"/>
      <c r="F362" s="343"/>
      <c r="G362" s="200"/>
      <c r="H362" s="296"/>
    </row>
    <row r="363" spans="1:9" s="260" customFormat="1" ht="12.75" hidden="1" customHeight="1" x14ac:dyDescent="0.2">
      <c r="A363" s="198"/>
      <c r="B363" s="199"/>
      <c r="C363" s="219"/>
      <c r="D363" s="232" t="s">
        <v>288</v>
      </c>
      <c r="E363" s="200"/>
      <c r="F363" s="343"/>
      <c r="G363" s="200"/>
      <c r="H363" s="296"/>
    </row>
    <row r="364" spans="1:9" s="260" customFormat="1" ht="12.75" hidden="1" customHeight="1" x14ac:dyDescent="0.2">
      <c r="A364" s="198"/>
      <c r="B364" s="199"/>
      <c r="C364" s="219"/>
      <c r="D364" s="232" t="s">
        <v>257</v>
      </c>
      <c r="E364" s="200"/>
      <c r="F364" s="343"/>
      <c r="G364" s="200"/>
      <c r="H364" s="296"/>
    </row>
    <row r="365" spans="1:9" s="260" customFormat="1" ht="12.75" hidden="1" customHeight="1" x14ac:dyDescent="0.2">
      <c r="A365" s="198"/>
      <c r="B365" s="199"/>
      <c r="C365" s="219"/>
      <c r="D365" s="232" t="s">
        <v>302</v>
      </c>
      <c r="E365" s="200"/>
      <c r="F365" s="343"/>
      <c r="G365" s="200"/>
      <c r="H365" s="296"/>
    </row>
    <row r="366" spans="1:9" s="260" customFormat="1" ht="12.75" hidden="1" customHeight="1" x14ac:dyDescent="0.2">
      <c r="A366" s="198"/>
      <c r="B366" s="199"/>
      <c r="C366" s="219"/>
      <c r="D366" s="232" t="s">
        <v>357</v>
      </c>
      <c r="E366" s="200"/>
      <c r="F366" s="343"/>
      <c r="G366" s="200"/>
      <c r="H366" s="296"/>
    </row>
    <row r="367" spans="1:9" s="260" customFormat="1" ht="12.75" hidden="1" customHeight="1" x14ac:dyDescent="0.2">
      <c r="A367" s="198"/>
      <c r="B367" s="199"/>
      <c r="C367" s="219"/>
      <c r="D367" s="232"/>
      <c r="E367" s="200"/>
      <c r="F367" s="343"/>
      <c r="G367" s="200"/>
      <c r="H367" s="296"/>
      <c r="I367" s="333"/>
    </row>
    <row r="368" spans="1:9" s="260" customFormat="1" ht="12.75" customHeight="1" x14ac:dyDescent="0.2">
      <c r="A368" s="194">
        <f>A359+1</f>
        <v>40</v>
      </c>
      <c r="B368" s="263">
        <v>4061</v>
      </c>
      <c r="C368" s="265" t="s">
        <v>349</v>
      </c>
      <c r="D368" s="513" t="str">
        <f>$D$12</f>
        <v>FTE December 2024</v>
      </c>
      <c r="E368" s="197">
        <f>'4061'!I$145</f>
        <v>692271.49</v>
      </c>
      <c r="F368" s="344"/>
      <c r="G368" s="197">
        <f>SUBTOTAL(109,E368:F376)</f>
        <v>687753.36</v>
      </c>
      <c r="H368" s="296"/>
    </row>
    <row r="369" spans="1:9" s="260" customFormat="1" ht="12.75" customHeight="1" x14ac:dyDescent="0.2">
      <c r="A369" s="194"/>
      <c r="B369" s="263"/>
      <c r="C369" s="264"/>
      <c r="D369" s="231" t="s">
        <v>554</v>
      </c>
      <c r="E369" s="197"/>
      <c r="F369" s="344">
        <v>-4518.13</v>
      </c>
      <c r="G369" s="197"/>
      <c r="H369" s="296"/>
    </row>
    <row r="370" spans="1:9" s="260" customFormat="1" ht="12.75" hidden="1" customHeight="1" x14ac:dyDescent="0.2">
      <c r="A370" s="194"/>
      <c r="B370" s="195"/>
      <c r="C370" s="218"/>
      <c r="D370" s="354" t="s">
        <v>491</v>
      </c>
      <c r="E370" s="197"/>
      <c r="F370" s="344"/>
      <c r="G370" s="197"/>
      <c r="H370" s="296"/>
    </row>
    <row r="371" spans="1:9" s="260" customFormat="1" ht="12.75" hidden="1" customHeight="1" x14ac:dyDescent="0.2">
      <c r="A371" s="194"/>
      <c r="B371" s="263"/>
      <c r="C371" s="264"/>
      <c r="D371" s="231" t="s">
        <v>278</v>
      </c>
      <c r="E371" s="197"/>
      <c r="F371" s="344"/>
      <c r="G371" s="197"/>
      <c r="H371" s="296"/>
    </row>
    <row r="372" spans="1:9" s="260" customFormat="1" ht="12.75" hidden="1" customHeight="1" x14ac:dyDescent="0.2">
      <c r="A372" s="194"/>
      <c r="B372" s="263"/>
      <c r="C372" s="264"/>
      <c r="D372" s="231" t="s">
        <v>280</v>
      </c>
      <c r="E372" s="197"/>
      <c r="F372" s="344"/>
      <c r="G372" s="197"/>
      <c r="H372" s="296"/>
    </row>
    <row r="373" spans="1:9" s="260" customFormat="1" ht="12.75" hidden="1" customHeight="1" x14ac:dyDescent="0.2">
      <c r="A373" s="194"/>
      <c r="B373" s="195"/>
      <c r="C373" s="218"/>
      <c r="D373" s="231" t="s">
        <v>279</v>
      </c>
      <c r="E373" s="197"/>
      <c r="F373" s="344"/>
      <c r="G373" s="197"/>
      <c r="H373" s="296"/>
    </row>
    <row r="374" spans="1:9" s="260" customFormat="1" ht="12.75" hidden="1" customHeight="1" x14ac:dyDescent="0.2">
      <c r="A374" s="194"/>
      <c r="B374" s="195"/>
      <c r="C374" s="218"/>
      <c r="D374" s="231" t="s">
        <v>288</v>
      </c>
      <c r="E374" s="197"/>
      <c r="F374" s="344"/>
      <c r="G374" s="197"/>
      <c r="H374" s="296"/>
    </row>
    <row r="375" spans="1:9" s="260" customFormat="1" ht="12.75" hidden="1" customHeight="1" x14ac:dyDescent="0.2">
      <c r="A375" s="194"/>
      <c r="B375" s="195"/>
      <c r="C375" s="218"/>
      <c r="D375" s="231" t="s">
        <v>257</v>
      </c>
      <c r="E375" s="197"/>
      <c r="F375" s="344"/>
      <c r="G375" s="197"/>
      <c r="H375" s="296"/>
    </row>
    <row r="376" spans="1:9" s="260" customFormat="1" ht="12.75" hidden="1" customHeight="1" x14ac:dyDescent="0.2">
      <c r="A376" s="194"/>
      <c r="B376" s="195"/>
      <c r="C376" s="218"/>
      <c r="D376" s="456" t="s">
        <v>454</v>
      </c>
      <c r="E376" s="455"/>
      <c r="F376" s="344"/>
      <c r="G376" s="197"/>
      <c r="H376" s="296"/>
      <c r="I376" s="335"/>
    </row>
    <row r="377" spans="1:9" s="260" customFormat="1" ht="12.75" customHeight="1" x14ac:dyDescent="0.2">
      <c r="A377" s="198">
        <f>A368+1</f>
        <v>41</v>
      </c>
      <c r="B377" s="199">
        <v>4080</v>
      </c>
      <c r="C377" s="219" t="s">
        <v>237</v>
      </c>
      <c r="D377" s="277" t="str">
        <f>$D$12</f>
        <v>FTE December 2024</v>
      </c>
      <c r="E377" s="200">
        <f>'4080'!I$145</f>
        <v>150128.91</v>
      </c>
      <c r="F377" s="343"/>
      <c r="G377" s="200">
        <f>SUBTOTAL(109,E377:F383)</f>
        <v>149119.29</v>
      </c>
      <c r="H377" s="296"/>
    </row>
    <row r="378" spans="1:9" s="260" customFormat="1" ht="12.75" customHeight="1" x14ac:dyDescent="0.2">
      <c r="A378" s="198"/>
      <c r="B378" s="199"/>
      <c r="C378" s="219"/>
      <c r="D378" s="232" t="s">
        <v>278</v>
      </c>
      <c r="E378" s="200"/>
      <c r="F378" s="343">
        <v>-1009.62</v>
      </c>
      <c r="G378" s="200"/>
      <c r="H378" s="296"/>
    </row>
    <row r="379" spans="1:9" s="260" customFormat="1" ht="12.75" hidden="1" customHeight="1" x14ac:dyDescent="0.2">
      <c r="A379" s="198"/>
      <c r="B379" s="199"/>
      <c r="C379" s="219"/>
      <c r="D379" s="232" t="s">
        <v>491</v>
      </c>
      <c r="E379" s="200"/>
      <c r="F379" s="343"/>
      <c r="G379" s="200"/>
      <c r="H379" s="296"/>
    </row>
    <row r="380" spans="1:9" s="260" customFormat="1" ht="12.75" hidden="1" customHeight="1" x14ac:dyDescent="0.2">
      <c r="A380" s="198"/>
      <c r="B380" s="199"/>
      <c r="C380" s="219"/>
      <c r="D380" s="232" t="s">
        <v>279</v>
      </c>
      <c r="E380" s="200"/>
      <c r="F380" s="343"/>
      <c r="G380" s="200"/>
      <c r="H380" s="296"/>
      <c r="I380" s="195"/>
    </row>
    <row r="381" spans="1:9" s="260" customFormat="1" ht="12.75" hidden="1" customHeight="1" x14ac:dyDescent="0.2">
      <c r="A381" s="198"/>
      <c r="B381" s="199"/>
      <c r="C381" s="219"/>
      <c r="D381" s="232" t="s">
        <v>288</v>
      </c>
      <c r="E381" s="200"/>
      <c r="F381" s="343"/>
      <c r="G381" s="200"/>
      <c r="H381" s="296"/>
    </row>
    <row r="382" spans="1:9" s="260" customFormat="1" ht="12.75" hidden="1" customHeight="1" x14ac:dyDescent="0.2">
      <c r="A382" s="198"/>
      <c r="B382" s="199"/>
      <c r="C382" s="219"/>
      <c r="D382" s="232" t="s">
        <v>257</v>
      </c>
      <c r="E382" s="200"/>
      <c r="F382" s="343"/>
      <c r="G382" s="200"/>
      <c r="H382" s="296"/>
    </row>
    <row r="383" spans="1:9" s="260" customFormat="1" ht="12.75" hidden="1" customHeight="1" x14ac:dyDescent="0.2">
      <c r="A383" s="198"/>
      <c r="B383" s="199"/>
      <c r="C383" s="219"/>
      <c r="D383" s="232" t="s">
        <v>345</v>
      </c>
      <c r="E383" s="200"/>
      <c r="F383" s="343"/>
      <c r="G383" s="200"/>
      <c r="H383" s="296"/>
      <c r="I383" s="195"/>
    </row>
    <row r="384" spans="1:9" s="260" customFormat="1" ht="12.75" customHeight="1" x14ac:dyDescent="0.2">
      <c r="A384" s="194">
        <f>1+A377</f>
        <v>42</v>
      </c>
      <c r="B384" s="263">
        <v>4081</v>
      </c>
      <c r="C384" s="265" t="s">
        <v>234</v>
      </c>
      <c r="D384" s="513" t="str">
        <f>$D$12</f>
        <v>FTE December 2024</v>
      </c>
      <c r="E384" s="197">
        <f>'4081'!I$145</f>
        <v>85463.93</v>
      </c>
      <c r="F384" s="344"/>
      <c r="G384" s="197">
        <f>SUBTOTAL(109,E384:F392)</f>
        <v>84509.959999999992</v>
      </c>
      <c r="H384" s="296"/>
    </row>
    <row r="385" spans="1:12" s="260" customFormat="1" ht="12.75" customHeight="1" x14ac:dyDescent="0.2">
      <c r="A385" s="194"/>
      <c r="B385" s="263"/>
      <c r="C385" s="265"/>
      <c r="D385" s="231" t="s">
        <v>554</v>
      </c>
      <c r="E385" s="197"/>
      <c r="F385" s="344">
        <v>-953.97</v>
      </c>
      <c r="G385" s="197"/>
      <c r="H385" s="296"/>
      <c r="I385" s="333"/>
    </row>
    <row r="386" spans="1:12" s="260" customFormat="1" ht="12.75" hidden="1" customHeight="1" x14ac:dyDescent="0.2">
      <c r="A386" s="194"/>
      <c r="B386" s="195"/>
      <c r="C386" s="218"/>
      <c r="D386" s="354" t="s">
        <v>491</v>
      </c>
      <c r="E386" s="197"/>
      <c r="F386" s="344"/>
      <c r="G386" s="197"/>
      <c r="H386" s="296"/>
      <c r="I386" s="333"/>
    </row>
    <row r="387" spans="1:12" s="260" customFormat="1" ht="12.75" hidden="1" customHeight="1" x14ac:dyDescent="0.2">
      <c r="A387" s="194"/>
      <c r="B387" s="263"/>
      <c r="C387" s="265"/>
      <c r="D387" s="231" t="s">
        <v>280</v>
      </c>
      <c r="E387" s="197"/>
      <c r="F387" s="344"/>
      <c r="G387" s="197"/>
      <c r="H387" s="296"/>
    </row>
    <row r="388" spans="1:12" s="260" customFormat="1" ht="12.75" hidden="1" customHeight="1" x14ac:dyDescent="0.2">
      <c r="A388" s="194"/>
      <c r="B388" s="263"/>
      <c r="C388" s="265"/>
      <c r="D388" s="231" t="s">
        <v>279</v>
      </c>
      <c r="E388" s="197"/>
      <c r="F388" s="344"/>
      <c r="G388" s="197"/>
      <c r="H388" s="296"/>
    </row>
    <row r="389" spans="1:12" s="260" customFormat="1" ht="12.75" hidden="1" customHeight="1" x14ac:dyDescent="0.2">
      <c r="A389" s="194"/>
      <c r="B389" s="263"/>
      <c r="C389" s="265"/>
      <c r="D389" s="231" t="s">
        <v>288</v>
      </c>
      <c r="E389" s="197"/>
      <c r="F389" s="344"/>
      <c r="G389" s="197"/>
      <c r="H389" s="296"/>
    </row>
    <row r="390" spans="1:12" s="260" customFormat="1" ht="12.75" hidden="1" customHeight="1" x14ac:dyDescent="0.2">
      <c r="A390" s="194"/>
      <c r="B390" s="195"/>
      <c r="C390" s="218"/>
      <c r="D390" s="231" t="s">
        <v>257</v>
      </c>
      <c r="E390" s="197"/>
      <c r="F390" s="344"/>
      <c r="G390" s="197"/>
      <c r="H390" s="296"/>
    </row>
    <row r="391" spans="1:12" s="260" customFormat="1" ht="12.75" hidden="1" customHeight="1" x14ac:dyDescent="0.2">
      <c r="A391" s="194"/>
      <c r="B391" s="195"/>
      <c r="C391" s="218"/>
      <c r="D391" s="231" t="s">
        <v>358</v>
      </c>
      <c r="E391" s="197"/>
      <c r="F391" s="344"/>
      <c r="G391" s="197"/>
      <c r="H391" s="296"/>
    </row>
    <row r="392" spans="1:12" s="260" customFormat="1" ht="12.75" hidden="1" customHeight="1" x14ac:dyDescent="0.2">
      <c r="A392" s="194"/>
      <c r="B392" s="195"/>
      <c r="C392" s="218"/>
      <c r="D392" s="276" t="s">
        <v>345</v>
      </c>
      <c r="E392" s="197"/>
      <c r="F392" s="344"/>
      <c r="G392" s="197"/>
      <c r="H392" s="296"/>
    </row>
    <row r="393" spans="1:12" s="260" customFormat="1" ht="12.75" customHeight="1" x14ac:dyDescent="0.2">
      <c r="A393" s="198">
        <f>1+A384</f>
        <v>43</v>
      </c>
      <c r="B393" s="199">
        <v>4090</v>
      </c>
      <c r="C393" s="219" t="s">
        <v>274</v>
      </c>
      <c r="D393" s="277" t="str">
        <f>$D$12</f>
        <v>FTE December 2024</v>
      </c>
      <c r="E393" s="200">
        <f>'4090'!I$145</f>
        <v>153089.95000000001</v>
      </c>
      <c r="F393" s="343"/>
      <c r="G393" s="200">
        <f>SUBTOTAL(109,E393:F402)</f>
        <v>106241.94</v>
      </c>
      <c r="H393" s="296"/>
    </row>
    <row r="394" spans="1:12" s="260" customFormat="1" ht="12.75" customHeight="1" x14ac:dyDescent="0.2">
      <c r="A394" s="198"/>
      <c r="B394" s="199"/>
      <c r="C394" s="219"/>
      <c r="D394" s="232" t="s">
        <v>278</v>
      </c>
      <c r="E394" s="200"/>
      <c r="F394" s="343">
        <v>-46848.01</v>
      </c>
      <c r="G394" s="200"/>
      <c r="H394" s="296"/>
      <c r="L394" s="334"/>
    </row>
    <row r="395" spans="1:12" s="260" customFormat="1" ht="12.75" hidden="1" customHeight="1" x14ac:dyDescent="0.2">
      <c r="A395" s="198"/>
      <c r="B395" s="199"/>
      <c r="C395" s="219"/>
      <c r="D395" s="391" t="s">
        <v>362</v>
      </c>
      <c r="E395" s="200"/>
      <c r="F395" s="343"/>
      <c r="G395" s="200"/>
      <c r="H395" s="296"/>
    </row>
    <row r="396" spans="1:12" s="260" customFormat="1" ht="12.75" hidden="1" customHeight="1" x14ac:dyDescent="0.2">
      <c r="A396" s="198"/>
      <c r="B396" s="199"/>
      <c r="C396" s="219"/>
      <c r="D396" s="391" t="s">
        <v>361</v>
      </c>
      <c r="E396" s="200"/>
      <c r="F396" s="343"/>
      <c r="G396" s="200"/>
      <c r="H396" s="296"/>
      <c r="I396" s="195"/>
    </row>
    <row r="397" spans="1:12" s="260" customFormat="1" ht="12.75" hidden="1" customHeight="1" x14ac:dyDescent="0.2">
      <c r="A397" s="198"/>
      <c r="B397" s="199"/>
      <c r="C397" s="219"/>
      <c r="D397" s="232" t="s">
        <v>280</v>
      </c>
      <c r="E397" s="200"/>
      <c r="F397" s="343"/>
      <c r="G397" s="200"/>
      <c r="H397" s="296"/>
    </row>
    <row r="398" spans="1:12" s="260" customFormat="1" ht="12.75" hidden="1" customHeight="1" x14ac:dyDescent="0.2">
      <c r="A398" s="198"/>
      <c r="B398" s="199"/>
      <c r="C398" s="219"/>
      <c r="D398" s="232" t="s">
        <v>279</v>
      </c>
      <c r="E398" s="200"/>
      <c r="F398" s="343"/>
      <c r="G398" s="200"/>
      <c r="H398" s="296"/>
    </row>
    <row r="399" spans="1:12" s="260" customFormat="1" ht="12.75" hidden="1" customHeight="1" x14ac:dyDescent="0.2">
      <c r="A399" s="198"/>
      <c r="B399" s="199"/>
      <c r="C399" s="219"/>
      <c r="D399" s="232" t="s">
        <v>288</v>
      </c>
      <c r="E399" s="200"/>
      <c r="F399" s="343"/>
      <c r="G399" s="200"/>
      <c r="H399" s="296"/>
    </row>
    <row r="400" spans="1:12" s="260" customFormat="1" ht="12.75" hidden="1" customHeight="1" x14ac:dyDescent="0.2">
      <c r="A400" s="198"/>
      <c r="B400" s="199"/>
      <c r="C400" s="219"/>
      <c r="D400" s="232" t="s">
        <v>257</v>
      </c>
      <c r="E400" s="200"/>
      <c r="F400" s="343"/>
      <c r="G400" s="200"/>
      <c r="H400" s="296"/>
      <c r="I400" s="333"/>
    </row>
    <row r="401" spans="1:13" s="260" customFormat="1" ht="12.75" hidden="1" customHeight="1" x14ac:dyDescent="0.2">
      <c r="A401" s="198"/>
      <c r="B401" s="199"/>
      <c r="C401" s="219"/>
      <c r="D401" s="232" t="s">
        <v>358</v>
      </c>
      <c r="E401" s="200"/>
      <c r="F401" s="343"/>
      <c r="G401" s="200"/>
      <c r="H401" s="296"/>
      <c r="I401" s="335"/>
    </row>
    <row r="402" spans="1:13" s="260" customFormat="1" ht="12.75" hidden="1" customHeight="1" x14ac:dyDescent="0.2">
      <c r="A402" s="198"/>
      <c r="B402" s="199"/>
      <c r="C402" s="219"/>
      <c r="D402" s="232" t="s">
        <v>550</v>
      </c>
      <c r="E402" s="200"/>
      <c r="F402" s="343"/>
      <c r="G402" s="200"/>
      <c r="H402" s="296"/>
      <c r="I402" s="333"/>
    </row>
    <row r="403" spans="1:13" s="260" customFormat="1" ht="12.75" customHeight="1" x14ac:dyDescent="0.2">
      <c r="A403" s="194">
        <f>1+A393</f>
        <v>44</v>
      </c>
      <c r="B403" s="263">
        <v>4091</v>
      </c>
      <c r="C403" s="265" t="s">
        <v>275</v>
      </c>
      <c r="D403" s="513" t="str">
        <f>$D$12</f>
        <v>FTE December 2024</v>
      </c>
      <c r="E403" s="197">
        <f>'4091'!I$145</f>
        <v>277730.71999999997</v>
      </c>
      <c r="F403" s="344"/>
      <c r="G403" s="197">
        <f>SUBTOTAL(109,E403:F412)</f>
        <v>277509.46999999997</v>
      </c>
      <c r="H403" s="296"/>
      <c r="L403" s="334"/>
    </row>
    <row r="404" spans="1:13" s="260" customFormat="1" ht="12.75" customHeight="1" x14ac:dyDescent="0.2">
      <c r="A404" s="194"/>
      <c r="B404" s="263"/>
      <c r="C404" s="265"/>
      <c r="D404" s="231" t="s">
        <v>554</v>
      </c>
      <c r="E404" s="197"/>
      <c r="F404" s="344">
        <v>-221.25</v>
      </c>
      <c r="G404" s="197"/>
      <c r="H404" s="296"/>
    </row>
    <row r="405" spans="1:13" s="260" customFormat="1" ht="12.75" hidden="1" customHeight="1" x14ac:dyDescent="0.2">
      <c r="A405" s="194"/>
      <c r="B405" s="195"/>
      <c r="C405" s="218"/>
      <c r="D405" s="354" t="s">
        <v>491</v>
      </c>
      <c r="E405" s="197"/>
      <c r="F405" s="344"/>
      <c r="G405" s="197"/>
      <c r="H405" s="296"/>
      <c r="I405" s="195"/>
    </row>
    <row r="406" spans="1:13" s="260" customFormat="1" ht="12.75" hidden="1" customHeight="1" x14ac:dyDescent="0.2">
      <c r="A406" s="194"/>
      <c r="B406" s="263"/>
      <c r="C406" s="265"/>
      <c r="D406" s="231" t="s">
        <v>280</v>
      </c>
      <c r="E406" s="197"/>
      <c r="F406" s="344"/>
      <c r="G406" s="197"/>
      <c r="H406" s="296"/>
      <c r="I406" s="195"/>
    </row>
    <row r="407" spans="1:13" s="260" customFormat="1" ht="12.75" hidden="1" customHeight="1" x14ac:dyDescent="0.2">
      <c r="A407" s="194"/>
      <c r="B407" s="263"/>
      <c r="C407" s="265"/>
      <c r="D407" s="231" t="s">
        <v>279</v>
      </c>
      <c r="E407" s="197"/>
      <c r="F407" s="344"/>
      <c r="G407" s="197"/>
      <c r="H407" s="296"/>
    </row>
    <row r="408" spans="1:13" s="260" customFormat="1" ht="12.75" hidden="1" customHeight="1" x14ac:dyDescent="0.2">
      <c r="A408" s="194"/>
      <c r="B408" s="263"/>
      <c r="C408" s="265"/>
      <c r="D408" s="231" t="s">
        <v>288</v>
      </c>
      <c r="E408" s="197"/>
      <c r="F408" s="344"/>
      <c r="G408" s="197"/>
      <c r="H408" s="296"/>
    </row>
    <row r="409" spans="1:13" s="260" customFormat="1" ht="12.75" hidden="1" customHeight="1" x14ac:dyDescent="0.2">
      <c r="A409" s="194"/>
      <c r="B409" s="195"/>
      <c r="C409" s="218"/>
      <c r="D409" s="231" t="s">
        <v>257</v>
      </c>
      <c r="E409" s="197"/>
      <c r="F409" s="344"/>
      <c r="G409" s="197"/>
      <c r="H409" s="296"/>
    </row>
    <row r="410" spans="1:13" s="260" customFormat="1" ht="12.75" hidden="1" customHeight="1" x14ac:dyDescent="0.2">
      <c r="A410" s="194"/>
      <c r="B410" s="195"/>
      <c r="C410" s="218"/>
      <c r="D410" s="231" t="s">
        <v>358</v>
      </c>
      <c r="E410" s="197"/>
      <c r="F410" s="344"/>
      <c r="G410" s="197"/>
      <c r="H410" s="296"/>
    </row>
    <row r="411" spans="1:13" s="260" customFormat="1" ht="12.75" hidden="1" customHeight="1" x14ac:dyDescent="0.2">
      <c r="A411" s="194"/>
      <c r="B411" s="195"/>
      <c r="C411" s="218"/>
      <c r="D411" s="276" t="s">
        <v>492</v>
      </c>
      <c r="E411" s="197"/>
      <c r="F411" s="344"/>
      <c r="G411" s="197"/>
      <c r="H411" s="296"/>
    </row>
    <row r="412" spans="1:13" s="260" customFormat="1" ht="12.75" hidden="1" customHeight="1" x14ac:dyDescent="0.2">
      <c r="A412" s="194"/>
      <c r="B412" s="195"/>
      <c r="C412" s="218"/>
      <c r="D412" s="355" t="s">
        <v>345</v>
      </c>
      <c r="E412" s="197"/>
      <c r="F412" s="344"/>
      <c r="G412" s="197"/>
      <c r="H412" s="296"/>
    </row>
    <row r="413" spans="1:13" s="260" customFormat="1" ht="12.75" customHeight="1" x14ac:dyDescent="0.2">
      <c r="A413" s="198">
        <f>1+A403</f>
        <v>45</v>
      </c>
      <c r="B413" s="199">
        <v>4100</v>
      </c>
      <c r="C413" s="219" t="s">
        <v>267</v>
      </c>
      <c r="D413" s="277" t="str">
        <f>$D$12</f>
        <v>FTE December 2024</v>
      </c>
      <c r="E413" s="200">
        <f>'4100'!I$145</f>
        <v>285464.21000000002</v>
      </c>
      <c r="F413" s="343"/>
      <c r="G413" s="200">
        <f>SUBTOTAL(109,E413:F421)</f>
        <v>282132.62</v>
      </c>
      <c r="H413" s="296"/>
      <c r="M413" s="334"/>
    </row>
    <row r="414" spans="1:13" s="260" customFormat="1" ht="12.75" customHeight="1" x14ac:dyDescent="0.2">
      <c r="A414" s="198"/>
      <c r="B414" s="199"/>
      <c r="C414" s="219"/>
      <c r="D414" s="232" t="s">
        <v>278</v>
      </c>
      <c r="E414" s="200"/>
      <c r="F414" s="343">
        <v>-3331.59</v>
      </c>
      <c r="G414" s="200"/>
      <c r="H414" s="296"/>
    </row>
    <row r="415" spans="1:13" s="260" customFormat="1" ht="12.75" hidden="1" customHeight="1" x14ac:dyDescent="0.2">
      <c r="A415" s="198"/>
      <c r="B415" s="199"/>
      <c r="C415" s="219"/>
      <c r="D415" s="391" t="s">
        <v>491</v>
      </c>
      <c r="E415" s="200"/>
      <c r="F415" s="343"/>
      <c r="G415" s="200"/>
      <c r="H415" s="296"/>
      <c r="I415" s="195"/>
    </row>
    <row r="416" spans="1:13" s="260" customFormat="1" ht="12.75" hidden="1" customHeight="1" x14ac:dyDescent="0.2">
      <c r="A416" s="198"/>
      <c r="B416" s="199"/>
      <c r="C416" s="219"/>
      <c r="D416" s="232" t="s">
        <v>280</v>
      </c>
      <c r="E416" s="200"/>
      <c r="F416" s="343"/>
      <c r="G416" s="200"/>
      <c r="H416" s="296"/>
    </row>
    <row r="417" spans="1:9" s="260" customFormat="1" ht="12.75" hidden="1" customHeight="1" x14ac:dyDescent="0.2">
      <c r="A417" s="198"/>
      <c r="B417" s="199"/>
      <c r="C417" s="219"/>
      <c r="D417" s="232" t="s">
        <v>279</v>
      </c>
      <c r="E417" s="200"/>
      <c r="F417" s="343"/>
      <c r="G417" s="200"/>
      <c r="H417" s="296"/>
    </row>
    <row r="418" spans="1:9" s="260" customFormat="1" ht="12.75" hidden="1" customHeight="1" x14ac:dyDescent="0.2">
      <c r="A418" s="198"/>
      <c r="B418" s="199"/>
      <c r="C418" s="219"/>
      <c r="D418" s="232" t="s">
        <v>288</v>
      </c>
      <c r="E418" s="200"/>
      <c r="F418" s="343"/>
      <c r="G418" s="200"/>
      <c r="H418" s="296"/>
    </row>
    <row r="419" spans="1:9" s="260" customFormat="1" ht="12.75" hidden="1" customHeight="1" x14ac:dyDescent="0.2">
      <c r="A419" s="198"/>
      <c r="B419" s="199"/>
      <c r="C419" s="219"/>
      <c r="D419" s="232" t="s">
        <v>257</v>
      </c>
      <c r="E419" s="200"/>
      <c r="F419" s="343"/>
      <c r="G419" s="200"/>
      <c r="H419" s="296"/>
      <c r="I419" s="333"/>
    </row>
    <row r="420" spans="1:9" s="260" customFormat="1" ht="12.75" hidden="1" customHeight="1" x14ac:dyDescent="0.2">
      <c r="A420" s="198"/>
      <c r="B420" s="199"/>
      <c r="C420" s="219"/>
      <c r="D420" s="232" t="s">
        <v>358</v>
      </c>
      <c r="E420" s="200"/>
      <c r="F420" s="343"/>
      <c r="G420" s="200"/>
      <c r="H420" s="296"/>
      <c r="I420" s="335"/>
    </row>
    <row r="421" spans="1:9" s="260" customFormat="1" ht="12.75" hidden="1" customHeight="1" x14ac:dyDescent="0.2">
      <c r="A421" s="198"/>
      <c r="B421" s="199"/>
      <c r="C421" s="219"/>
      <c r="D421" s="232" t="s">
        <v>345</v>
      </c>
      <c r="E421" s="200"/>
      <c r="F421" s="343"/>
      <c r="G421" s="200"/>
      <c r="H421" s="296"/>
    </row>
    <row r="422" spans="1:9" s="260" customFormat="1" ht="12.75" customHeight="1" x14ac:dyDescent="0.2">
      <c r="A422" s="194">
        <f>1+A413</f>
        <v>46</v>
      </c>
      <c r="B422" s="263">
        <v>4102</v>
      </c>
      <c r="C422" s="265" t="s">
        <v>282</v>
      </c>
      <c r="D422" s="513" t="str">
        <f>$D$12</f>
        <v>FTE December 2024</v>
      </c>
      <c r="E422" s="197">
        <v>0</v>
      </c>
      <c r="F422" s="344"/>
      <c r="G422" s="197">
        <f>SUBTOTAL(109,E422:F429)</f>
        <v>0</v>
      </c>
      <c r="H422" s="296"/>
    </row>
    <row r="423" spans="1:9" s="260" customFormat="1" ht="12.75" customHeight="1" x14ac:dyDescent="0.2">
      <c r="A423" s="194"/>
      <c r="B423" s="263"/>
      <c r="C423" s="265"/>
      <c r="D423" s="231" t="s">
        <v>554</v>
      </c>
      <c r="E423" s="197"/>
      <c r="F423" s="344">
        <v>0</v>
      </c>
      <c r="G423" s="197"/>
      <c r="H423" s="296"/>
    </row>
    <row r="424" spans="1:9" s="260" customFormat="1" ht="12.75" hidden="1" customHeight="1" x14ac:dyDescent="0.2">
      <c r="A424" s="194"/>
      <c r="B424" s="195"/>
      <c r="C424" s="218"/>
      <c r="D424" s="354"/>
      <c r="E424" s="455"/>
      <c r="F424" s="344"/>
      <c r="G424" s="197"/>
      <c r="H424" s="296"/>
    </row>
    <row r="425" spans="1:9" s="260" customFormat="1" ht="12.75" hidden="1" customHeight="1" x14ac:dyDescent="0.2">
      <c r="A425" s="194"/>
      <c r="B425" s="263"/>
      <c r="C425" s="265"/>
      <c r="D425" s="231" t="s">
        <v>280</v>
      </c>
      <c r="E425" s="197"/>
      <c r="F425" s="344"/>
      <c r="G425" s="197"/>
      <c r="H425" s="296"/>
      <c r="I425" s="195"/>
    </row>
    <row r="426" spans="1:9" s="260" customFormat="1" ht="12.75" hidden="1" customHeight="1" x14ac:dyDescent="0.2">
      <c r="A426" s="194"/>
      <c r="B426" s="263"/>
      <c r="C426" s="265"/>
      <c r="D426" s="231" t="s">
        <v>279</v>
      </c>
      <c r="E426" s="197"/>
      <c r="F426" s="344"/>
      <c r="G426" s="197"/>
      <c r="H426" s="296"/>
    </row>
    <row r="427" spans="1:9" s="260" customFormat="1" ht="12.75" hidden="1" customHeight="1" x14ac:dyDescent="0.2">
      <c r="A427" s="194"/>
      <c r="B427" s="263"/>
      <c r="C427" s="265"/>
      <c r="D427" s="231" t="s">
        <v>288</v>
      </c>
      <c r="E427" s="197"/>
      <c r="F427" s="344"/>
      <c r="G427" s="197"/>
      <c r="H427" s="296"/>
    </row>
    <row r="428" spans="1:9" s="260" customFormat="1" ht="12.75" hidden="1" customHeight="1" x14ac:dyDescent="0.2">
      <c r="A428" s="194"/>
      <c r="B428" s="195"/>
      <c r="C428" s="218"/>
      <c r="D428" s="231" t="s">
        <v>257</v>
      </c>
      <c r="E428" s="197"/>
      <c r="F428" s="344"/>
      <c r="G428" s="197"/>
      <c r="H428" s="296"/>
    </row>
    <row r="429" spans="1:9" s="260" customFormat="1" ht="12.75" hidden="1" customHeight="1" x14ac:dyDescent="0.2">
      <c r="A429" s="194"/>
      <c r="B429" s="195"/>
      <c r="C429" s="218"/>
      <c r="D429" s="276"/>
      <c r="E429" s="197"/>
      <c r="F429" s="344"/>
      <c r="G429" s="197"/>
      <c r="H429" s="296"/>
    </row>
    <row r="430" spans="1:9" s="260" customFormat="1" ht="12.75" customHeight="1" x14ac:dyDescent="0.2">
      <c r="A430" s="198">
        <f>A422+1</f>
        <v>47</v>
      </c>
      <c r="B430" s="199">
        <v>4103</v>
      </c>
      <c r="C430" s="219" t="s">
        <v>323</v>
      </c>
      <c r="D430" s="277" t="str">
        <f>$D$12</f>
        <v>FTE December 2024</v>
      </c>
      <c r="E430" s="200">
        <f>'4103'!I$145</f>
        <v>633708.1</v>
      </c>
      <c r="F430" s="343"/>
      <c r="G430" s="200">
        <f>SUBTOTAL(109,E430:F439)</f>
        <v>622084.05999999994</v>
      </c>
      <c r="H430" s="296"/>
    </row>
    <row r="431" spans="1:9" s="260" customFormat="1" ht="12.75" customHeight="1" x14ac:dyDescent="0.2">
      <c r="A431" s="198"/>
      <c r="B431" s="199"/>
      <c r="C431" s="219"/>
      <c r="D431" s="232" t="s">
        <v>278</v>
      </c>
      <c r="E431" s="200"/>
      <c r="F431" s="343">
        <v>-11624.04</v>
      </c>
      <c r="G431" s="200"/>
      <c r="H431" s="296"/>
    </row>
    <row r="432" spans="1:9" s="260" customFormat="1" ht="12.75" hidden="1" customHeight="1" x14ac:dyDescent="0.2">
      <c r="A432" s="198"/>
      <c r="B432" s="199"/>
      <c r="C432" s="219"/>
      <c r="D432" s="391" t="s">
        <v>491</v>
      </c>
      <c r="E432" s="200"/>
      <c r="F432" s="343"/>
      <c r="G432" s="200"/>
      <c r="H432" s="296"/>
    </row>
    <row r="433" spans="1:9" s="260" customFormat="1" ht="12.75" hidden="1" customHeight="1" x14ac:dyDescent="0.2">
      <c r="A433" s="198"/>
      <c r="B433" s="199"/>
      <c r="C433" s="219"/>
      <c r="D433" s="391" t="s">
        <v>361</v>
      </c>
      <c r="E433" s="200"/>
      <c r="F433" s="343"/>
      <c r="G433" s="200"/>
      <c r="H433" s="296"/>
    </row>
    <row r="434" spans="1:9" s="260" customFormat="1" ht="12.75" hidden="1" customHeight="1" x14ac:dyDescent="0.2">
      <c r="A434" s="198"/>
      <c r="B434" s="199"/>
      <c r="C434" s="219"/>
      <c r="D434" s="232" t="s">
        <v>280</v>
      </c>
      <c r="E434" s="200"/>
      <c r="F434" s="343"/>
      <c r="G434" s="200"/>
      <c r="H434" s="296"/>
      <c r="I434" s="195"/>
    </row>
    <row r="435" spans="1:9" s="260" customFormat="1" ht="12.75" hidden="1" customHeight="1" x14ac:dyDescent="0.2">
      <c r="A435" s="198"/>
      <c r="B435" s="199"/>
      <c r="C435" s="219"/>
      <c r="D435" s="232" t="s">
        <v>279</v>
      </c>
      <c r="E435" s="200"/>
      <c r="F435" s="343"/>
      <c r="G435" s="200"/>
      <c r="H435" s="296"/>
    </row>
    <row r="436" spans="1:9" s="260" customFormat="1" ht="12.75" hidden="1" customHeight="1" x14ac:dyDescent="0.2">
      <c r="A436" s="198"/>
      <c r="B436" s="199"/>
      <c r="C436" s="219"/>
      <c r="D436" s="232" t="s">
        <v>288</v>
      </c>
      <c r="E436" s="200"/>
      <c r="F436" s="343"/>
      <c r="G436" s="200"/>
      <c r="H436" s="296"/>
    </row>
    <row r="437" spans="1:9" s="260" customFormat="1" ht="12.75" hidden="1" customHeight="1" x14ac:dyDescent="0.2">
      <c r="A437" s="198"/>
      <c r="B437" s="199"/>
      <c r="C437" s="219"/>
      <c r="D437" s="232" t="s">
        <v>257</v>
      </c>
      <c r="E437" s="200"/>
      <c r="F437" s="343"/>
      <c r="G437" s="200"/>
      <c r="H437" s="296"/>
      <c r="I437" s="188"/>
    </row>
    <row r="438" spans="1:9" s="260" customFormat="1" ht="12.75" hidden="1" customHeight="1" x14ac:dyDescent="0.2">
      <c r="A438" s="198"/>
      <c r="B438" s="199"/>
      <c r="C438" s="219"/>
      <c r="D438" s="232" t="s">
        <v>358</v>
      </c>
      <c r="E438" s="200"/>
      <c r="F438" s="343"/>
      <c r="G438" s="200"/>
      <c r="H438" s="296"/>
      <c r="I438" s="333"/>
    </row>
    <row r="439" spans="1:9" s="260" customFormat="1" ht="12.75" hidden="1" customHeight="1" x14ac:dyDescent="0.2">
      <c r="A439" s="198"/>
      <c r="B439" s="199"/>
      <c r="C439" s="219"/>
      <c r="D439" s="232" t="s">
        <v>345</v>
      </c>
      <c r="E439" s="200"/>
      <c r="F439" s="343"/>
      <c r="G439" s="200"/>
      <c r="H439" s="296"/>
      <c r="I439" s="333"/>
    </row>
    <row r="440" spans="1:9" s="260" customFormat="1" ht="12.75" customHeight="1" x14ac:dyDescent="0.2">
      <c r="A440" s="194">
        <f>1+A430</f>
        <v>48</v>
      </c>
      <c r="B440" s="263">
        <v>4111</v>
      </c>
      <c r="C440" s="265" t="s">
        <v>342</v>
      </c>
      <c r="D440" s="513" t="str">
        <f>$D$12</f>
        <v>FTE December 2024</v>
      </c>
      <c r="E440" s="197">
        <f>'4111'!I$145</f>
        <v>200498.24</v>
      </c>
      <c r="F440" s="344"/>
      <c r="G440" s="197">
        <f>SUBTOTAL(109,E440:F448)</f>
        <v>191460.91</v>
      </c>
      <c r="H440" s="296"/>
    </row>
    <row r="441" spans="1:9" s="260" customFormat="1" ht="12.75" customHeight="1" x14ac:dyDescent="0.2">
      <c r="A441" s="194"/>
      <c r="B441" s="263"/>
      <c r="C441" s="265"/>
      <c r="D441" s="231" t="s">
        <v>554</v>
      </c>
      <c r="E441" s="197"/>
      <c r="F441" s="344">
        <v>-9037.33</v>
      </c>
      <c r="G441" s="197"/>
      <c r="H441" s="296"/>
    </row>
    <row r="442" spans="1:9" s="260" customFormat="1" ht="12.75" hidden="1" customHeight="1" x14ac:dyDescent="0.2">
      <c r="A442" s="194"/>
      <c r="B442" s="195"/>
      <c r="C442" s="218"/>
      <c r="D442" s="354" t="s">
        <v>491</v>
      </c>
      <c r="E442" s="197"/>
      <c r="F442" s="344"/>
      <c r="G442" s="197"/>
      <c r="H442" s="296"/>
      <c r="I442" s="195"/>
    </row>
    <row r="443" spans="1:9" s="260" customFormat="1" ht="12.75" hidden="1" customHeight="1" x14ac:dyDescent="0.2">
      <c r="A443" s="194"/>
      <c r="B443" s="263"/>
      <c r="C443" s="265"/>
      <c r="D443" s="231" t="s">
        <v>280</v>
      </c>
      <c r="E443" s="197"/>
      <c r="F443" s="344"/>
      <c r="G443" s="197"/>
      <c r="H443" s="296"/>
      <c r="I443" s="195"/>
    </row>
    <row r="444" spans="1:9" s="260" customFormat="1" ht="12.75" hidden="1" customHeight="1" x14ac:dyDescent="0.2">
      <c r="A444" s="194"/>
      <c r="B444" s="263"/>
      <c r="C444" s="265"/>
      <c r="D444" s="231" t="s">
        <v>279</v>
      </c>
      <c r="E444" s="197"/>
      <c r="F444" s="344"/>
      <c r="G444" s="197"/>
      <c r="H444" s="296"/>
    </row>
    <row r="445" spans="1:9" s="260" customFormat="1" ht="12.75" hidden="1" customHeight="1" x14ac:dyDescent="0.2">
      <c r="A445" s="194"/>
      <c r="B445" s="263"/>
      <c r="C445" s="265"/>
      <c r="D445" s="231" t="s">
        <v>288</v>
      </c>
      <c r="E445" s="197"/>
      <c r="F445" s="344"/>
      <c r="G445" s="197"/>
      <c r="H445" s="296"/>
    </row>
    <row r="446" spans="1:9" s="260" customFormat="1" ht="12.75" hidden="1" customHeight="1" x14ac:dyDescent="0.2">
      <c r="A446" s="194"/>
      <c r="B446" s="195"/>
      <c r="C446" s="218"/>
      <c r="D446" s="231" t="s">
        <v>257</v>
      </c>
      <c r="E446" s="197"/>
      <c r="F446" s="344"/>
      <c r="G446" s="197"/>
      <c r="H446" s="296"/>
    </row>
    <row r="447" spans="1:9" s="260" customFormat="1" hidden="1" x14ac:dyDescent="0.2">
      <c r="A447" s="194"/>
      <c r="B447" s="195"/>
      <c r="C447" s="218"/>
      <c r="D447" s="231" t="s">
        <v>358</v>
      </c>
      <c r="E447" s="197"/>
      <c r="F447" s="344"/>
      <c r="G447" s="197"/>
      <c r="H447" s="296"/>
    </row>
    <row r="448" spans="1:9" s="260" customFormat="1" hidden="1" x14ac:dyDescent="0.2">
      <c r="A448" s="194"/>
      <c r="B448" s="195"/>
      <c r="C448" s="218"/>
      <c r="D448" s="276" t="s">
        <v>345</v>
      </c>
      <c r="E448" s="197"/>
      <c r="F448" s="344"/>
      <c r="G448" s="197"/>
      <c r="H448" s="296"/>
    </row>
    <row r="449" spans="1:9" s="260" customFormat="1" ht="12.75" customHeight="1" x14ac:dyDescent="0.2">
      <c r="A449" s="198">
        <f>1+A440</f>
        <v>49</v>
      </c>
      <c r="B449" s="396">
        <v>4131</v>
      </c>
      <c r="C449" s="397" t="s">
        <v>374</v>
      </c>
      <c r="D449" s="277" t="str">
        <f>$D$12</f>
        <v>FTE December 2024</v>
      </c>
      <c r="E449" s="200">
        <f>'4131'!I$145</f>
        <v>82625.429999999993</v>
      </c>
      <c r="F449" s="343"/>
      <c r="G449" s="200">
        <f>SUBTOTAL(109,E449:F457)</f>
        <v>83738.409999999989</v>
      </c>
      <c r="H449" s="296"/>
    </row>
    <row r="450" spans="1:9" s="260" customFormat="1" ht="12.75" customHeight="1" x14ac:dyDescent="0.2">
      <c r="A450" s="198"/>
      <c r="B450" s="396"/>
      <c r="C450" s="397"/>
      <c r="D450" s="232" t="s">
        <v>278</v>
      </c>
      <c r="E450" s="200"/>
      <c r="F450" s="343">
        <v>1112.98</v>
      </c>
      <c r="G450" s="200"/>
      <c r="H450" s="296"/>
    </row>
    <row r="451" spans="1:9" s="260" customFormat="1" ht="12.75" hidden="1" customHeight="1" x14ac:dyDescent="0.2">
      <c r="A451" s="198"/>
      <c r="B451" s="199"/>
      <c r="C451" s="219"/>
      <c r="D451" s="391" t="s">
        <v>362</v>
      </c>
      <c r="E451" s="200"/>
      <c r="F451" s="343"/>
      <c r="G451" s="200"/>
      <c r="H451" s="296"/>
    </row>
    <row r="452" spans="1:9" s="260" customFormat="1" ht="12.75" hidden="1" customHeight="1" x14ac:dyDescent="0.2">
      <c r="A452" s="198"/>
      <c r="B452" s="396"/>
      <c r="C452" s="397"/>
      <c r="D452" s="232" t="s">
        <v>280</v>
      </c>
      <c r="E452" s="200"/>
      <c r="F452" s="343"/>
      <c r="G452" s="200"/>
      <c r="H452" s="296"/>
      <c r="I452" s="195"/>
    </row>
    <row r="453" spans="1:9" s="260" customFormat="1" ht="12.75" hidden="1" customHeight="1" x14ac:dyDescent="0.2">
      <c r="A453" s="198"/>
      <c r="B453" s="396"/>
      <c r="C453" s="397"/>
      <c r="D453" s="232" t="s">
        <v>279</v>
      </c>
      <c r="E453" s="200"/>
      <c r="F453" s="343"/>
      <c r="G453" s="200"/>
      <c r="H453" s="296"/>
    </row>
    <row r="454" spans="1:9" s="260" customFormat="1" ht="12.75" hidden="1" customHeight="1" x14ac:dyDescent="0.2">
      <c r="A454" s="198"/>
      <c r="B454" s="396"/>
      <c r="C454" s="397"/>
      <c r="D454" s="232" t="s">
        <v>288</v>
      </c>
      <c r="E454" s="200"/>
      <c r="F454" s="343"/>
      <c r="G454" s="200"/>
      <c r="H454" s="296"/>
    </row>
    <row r="455" spans="1:9" s="260" customFormat="1" ht="12.75" hidden="1" customHeight="1" x14ac:dyDescent="0.2">
      <c r="A455" s="198"/>
      <c r="B455" s="199"/>
      <c r="C455" s="219"/>
      <c r="D455" s="232" t="s">
        <v>257</v>
      </c>
      <c r="E455" s="200"/>
      <c r="F455" s="343"/>
      <c r="G455" s="200"/>
      <c r="H455" s="296"/>
      <c r="I455" s="188"/>
    </row>
    <row r="456" spans="1:9" s="260" customFormat="1" ht="12.75" hidden="1" customHeight="1" x14ac:dyDescent="0.2">
      <c r="A456" s="198"/>
      <c r="B456" s="199"/>
      <c r="C456" s="219"/>
      <c r="D456" s="232" t="s">
        <v>358</v>
      </c>
      <c r="E456" s="200"/>
      <c r="F456" s="343"/>
      <c r="G456" s="200"/>
      <c r="H456" s="296"/>
      <c r="I456" s="333"/>
    </row>
    <row r="457" spans="1:9" s="260" customFormat="1" ht="12.75" hidden="1" customHeight="1" x14ac:dyDescent="0.2">
      <c r="A457" s="198"/>
      <c r="B457" s="199"/>
      <c r="C457" s="219"/>
      <c r="D457" s="278" t="s">
        <v>345</v>
      </c>
      <c r="E457" s="200"/>
      <c r="F457" s="343"/>
      <c r="G457" s="200"/>
      <c r="H457" s="296"/>
      <c r="I457" s="335"/>
    </row>
    <row r="458" spans="1:9" s="260" customFormat="1" ht="12.75" customHeight="1" x14ac:dyDescent="0.2">
      <c r="A458" s="191"/>
      <c r="B458" s="188"/>
      <c r="C458" s="188"/>
      <c r="D458" s="280"/>
      <c r="E458" s="188"/>
      <c r="F458" s="345"/>
      <c r="G458" s="188"/>
      <c r="H458" s="296"/>
      <c r="I458" s="333"/>
    </row>
    <row r="459" spans="1:9" s="260" customFormat="1" ht="12.75" customHeight="1" thickBot="1" x14ac:dyDescent="0.25">
      <c r="A459" s="188"/>
      <c r="B459" s="190"/>
      <c r="C459" s="217"/>
      <c r="D459" s="280" t="s">
        <v>184</v>
      </c>
      <c r="E459" s="202">
        <f>SUBTOTAL(109,E5:E458)</f>
        <v>17074911.039999999</v>
      </c>
      <c r="F459" s="202">
        <f>SUBTOTAL(109,F12:F458)</f>
        <v>-194535.77999999994</v>
      </c>
      <c r="G459" s="202">
        <f>ROUND(SUM(G5:G458),2)</f>
        <v>16880375.260000002</v>
      </c>
      <c r="H459" s="296"/>
    </row>
    <row r="460" spans="1:9" s="260" customFormat="1" ht="12.75" customHeight="1" thickTop="1" x14ac:dyDescent="0.2">
      <c r="A460" s="188"/>
      <c r="B460" s="190"/>
      <c r="C460" s="217"/>
      <c r="D460" s="188"/>
      <c r="E460" s="188"/>
      <c r="F460" s="238"/>
      <c r="G460" s="201">
        <f>ROUND(G459-E459-F459,2)</f>
        <v>0</v>
      </c>
      <c r="H460" s="296"/>
    </row>
    <row r="461" spans="1:9" s="260" customFormat="1" ht="12.75" customHeight="1" x14ac:dyDescent="0.2">
      <c r="A461" s="188"/>
      <c r="B461" s="190"/>
      <c r="C461" s="217"/>
      <c r="D461" s="188"/>
      <c r="E461" s="188"/>
      <c r="F461" s="238"/>
      <c r="G461" s="188"/>
      <c r="H461" s="296"/>
      <c r="I461" s="195"/>
    </row>
    <row r="462" spans="1:9" s="260" customFormat="1" ht="12.75" customHeight="1" x14ac:dyDescent="0.2">
      <c r="A462" s="188"/>
      <c r="B462" s="190"/>
      <c r="C462" s="217"/>
      <c r="D462" s="188"/>
      <c r="E462" s="188"/>
      <c r="F462" s="238"/>
      <c r="G462" s="188"/>
      <c r="H462" s="296"/>
    </row>
    <row r="463" spans="1:9" s="260" customFormat="1" ht="12.75" customHeight="1" x14ac:dyDescent="0.2">
      <c r="A463" s="188"/>
      <c r="B463" s="190"/>
      <c r="C463" s="217"/>
      <c r="D463" s="188"/>
      <c r="E463" s="188"/>
      <c r="F463" s="238"/>
      <c r="G463" s="188"/>
      <c r="H463" s="296"/>
    </row>
    <row r="464" spans="1:9" s="260" customFormat="1" ht="12.75" customHeight="1" x14ac:dyDescent="0.2">
      <c r="A464" s="188"/>
      <c r="B464" s="190"/>
      <c r="C464" s="217"/>
      <c r="D464" s="188"/>
      <c r="E464" s="188"/>
      <c r="F464" s="238"/>
      <c r="G464" s="188"/>
      <c r="H464" s="296"/>
      <c r="I464" s="188"/>
    </row>
    <row r="465" spans="1:10" s="260" customFormat="1" ht="12.75" customHeight="1" x14ac:dyDescent="0.2">
      <c r="A465" s="188"/>
      <c r="B465" s="190"/>
      <c r="C465" s="217"/>
      <c r="D465" s="188"/>
      <c r="E465" s="188"/>
      <c r="F465" s="238"/>
      <c r="G465" s="188"/>
      <c r="H465" s="296"/>
      <c r="I465" s="333"/>
    </row>
    <row r="466" spans="1:10" s="260" customFormat="1" ht="12.75" customHeight="1" x14ac:dyDescent="0.2">
      <c r="A466" s="269"/>
      <c r="B466" s="190"/>
      <c r="C466" s="241"/>
      <c r="D466" s="269" t="s">
        <v>254</v>
      </c>
      <c r="E466" s="201">
        <f>Consolidated!I143</f>
        <v>17074911.039999999</v>
      </c>
      <c r="F466" s="238"/>
      <c r="G466" s="201">
        <f>E466+F466</f>
        <v>17074911.039999999</v>
      </c>
      <c r="H466" s="296"/>
      <c r="I466" s="335"/>
    </row>
    <row r="467" spans="1:10" s="260" customFormat="1" ht="12.75" customHeight="1" x14ac:dyDescent="0.2">
      <c r="A467" s="188"/>
      <c r="B467" s="188"/>
      <c r="C467" s="188"/>
      <c r="D467" s="196" t="s">
        <v>278</v>
      </c>
      <c r="E467" s="188"/>
      <c r="F467" s="685">
        <f>F450+F441+F431+F414+F404+F394+F385+F378+F369+F360+F353+F342+F332+F322+F313+F304+F296+F286+F277+F261+F269+F251+F241+F232+F222+F211+F203+F192+F184+F177+F169+F160+F150+F132+F123+F116+F108++F99+F88+F78+F70+F59+F58+F51+F35+F13</f>
        <v>-95880.12999999999</v>
      </c>
      <c r="G467" s="201">
        <f t="shared" ref="G467:G471" si="0">E467+F467</f>
        <v>-95880.12999999999</v>
      </c>
      <c r="H467" s="296"/>
      <c r="I467" s="523"/>
    </row>
    <row r="468" spans="1:10" ht="12.75" hidden="1" customHeight="1" x14ac:dyDescent="0.2">
      <c r="D468" s="519" t="s">
        <v>491</v>
      </c>
      <c r="F468" s="259">
        <f t="shared" ref="F468:F485" si="1">SUM(SUMIF(D$12:D$458,D468,F$12:F$458))</f>
        <v>0</v>
      </c>
      <c r="G468" s="201">
        <f t="shared" si="0"/>
        <v>0</v>
      </c>
      <c r="H468" s="297"/>
    </row>
    <row r="469" spans="1:10" ht="12.75" hidden="1" customHeight="1" x14ac:dyDescent="0.2">
      <c r="D469" s="196" t="s">
        <v>363</v>
      </c>
      <c r="F469" s="259">
        <f t="shared" si="1"/>
        <v>0</v>
      </c>
      <c r="G469" s="201">
        <f t="shared" si="0"/>
        <v>0</v>
      </c>
    </row>
    <row r="470" spans="1:10" ht="12.75" hidden="1" customHeight="1" x14ac:dyDescent="0.2">
      <c r="D470" s="196" t="s">
        <v>364</v>
      </c>
      <c r="F470" s="259">
        <f t="shared" si="1"/>
        <v>0</v>
      </c>
      <c r="G470" s="201">
        <f t="shared" si="0"/>
        <v>0</v>
      </c>
    </row>
    <row r="471" spans="1:10" ht="12.75" hidden="1" customHeight="1" x14ac:dyDescent="0.2">
      <c r="D471" s="390" t="s">
        <v>361</v>
      </c>
      <c r="F471" s="259">
        <f t="shared" si="1"/>
        <v>0</v>
      </c>
      <c r="G471" s="201">
        <f t="shared" si="0"/>
        <v>0</v>
      </c>
    </row>
    <row r="472" spans="1:10" ht="12.75" hidden="1" customHeight="1" x14ac:dyDescent="0.2">
      <c r="D472" s="196" t="s">
        <v>280</v>
      </c>
      <c r="F472" s="259">
        <f t="shared" si="1"/>
        <v>0</v>
      </c>
      <c r="G472" s="201">
        <f t="shared" ref="G472:G477" si="2">E472+F472</f>
        <v>0</v>
      </c>
    </row>
    <row r="473" spans="1:10" ht="12.75" hidden="1" customHeight="1" x14ac:dyDescent="0.2">
      <c r="D473" s="196" t="s">
        <v>354</v>
      </c>
      <c r="F473" s="259">
        <f t="shared" si="1"/>
        <v>0</v>
      </c>
      <c r="G473" s="201">
        <f t="shared" si="2"/>
        <v>0</v>
      </c>
    </row>
    <row r="474" spans="1:10" ht="12.75" hidden="1" customHeight="1" x14ac:dyDescent="0.2">
      <c r="D474" s="188" t="s">
        <v>288</v>
      </c>
      <c r="F474" s="259">
        <f t="shared" si="1"/>
        <v>0</v>
      </c>
      <c r="G474" s="201">
        <f t="shared" si="2"/>
        <v>0</v>
      </c>
    </row>
    <row r="475" spans="1:10" ht="12.75" hidden="1" customHeight="1" x14ac:dyDescent="0.2">
      <c r="A475" s="194"/>
      <c r="B475" s="195"/>
      <c r="C475" s="218"/>
      <c r="D475" s="196" t="s">
        <v>257</v>
      </c>
      <c r="E475" s="197"/>
      <c r="F475" s="259">
        <f t="shared" si="1"/>
        <v>0</v>
      </c>
      <c r="G475" s="201">
        <f t="shared" si="2"/>
        <v>0</v>
      </c>
    </row>
    <row r="476" spans="1:10" ht="12.75" hidden="1" customHeight="1" x14ac:dyDescent="0.2">
      <c r="D476" s="314" t="s">
        <v>315</v>
      </c>
      <c r="F476" s="259">
        <f t="shared" si="1"/>
        <v>0</v>
      </c>
      <c r="G476" s="201">
        <f t="shared" si="2"/>
        <v>0</v>
      </c>
      <c r="J476" s="201"/>
    </row>
    <row r="477" spans="1:10" ht="12.75" customHeight="1" x14ac:dyDescent="0.2">
      <c r="D477" s="314" t="s">
        <v>284</v>
      </c>
      <c r="F477" s="259">
        <f>SUM(SUMIF(D$12:D$458,D477,F$12:F$458))</f>
        <v>-74738.62</v>
      </c>
      <c r="G477" s="201">
        <f t="shared" si="2"/>
        <v>-74738.62</v>
      </c>
      <c r="J477" s="201"/>
    </row>
    <row r="478" spans="1:10" ht="12.75" customHeight="1" x14ac:dyDescent="0.2">
      <c r="D478" s="188" t="s">
        <v>229</v>
      </c>
      <c r="F478" s="259">
        <f t="shared" si="1"/>
        <v>-22600</v>
      </c>
      <c r="G478" s="201">
        <f t="shared" ref="G478:G487" si="3">E478+F478</f>
        <v>-22600</v>
      </c>
      <c r="J478" s="201"/>
    </row>
    <row r="479" spans="1:10" ht="12.75" customHeight="1" x14ac:dyDescent="0.2">
      <c r="D479" s="188" t="s">
        <v>230</v>
      </c>
      <c r="F479" s="259">
        <f>SUM(SUMIF(D$12:D$458,D479,F$12:F$458))</f>
        <v>-421.76</v>
      </c>
      <c r="G479" s="201">
        <f t="shared" si="3"/>
        <v>-421.76</v>
      </c>
      <c r="J479" s="201"/>
    </row>
    <row r="480" spans="1:10" ht="12.75" customHeight="1" x14ac:dyDescent="0.2">
      <c r="D480" s="241" t="s">
        <v>452</v>
      </c>
      <c r="F480" s="259">
        <f t="shared" si="1"/>
        <v>-188.96</v>
      </c>
      <c r="G480" s="201">
        <f t="shared" si="3"/>
        <v>-188.96</v>
      </c>
      <c r="J480" s="201"/>
    </row>
    <row r="481" spans="1:10" ht="12.75" customHeight="1" x14ac:dyDescent="0.2">
      <c r="D481" s="188" t="s">
        <v>337</v>
      </c>
      <c r="F481" s="259">
        <f t="shared" si="1"/>
        <v>-180</v>
      </c>
      <c r="G481" s="201">
        <f t="shared" si="3"/>
        <v>-180</v>
      </c>
      <c r="J481" s="201"/>
    </row>
    <row r="482" spans="1:10" ht="12.75" hidden="1" customHeight="1" x14ac:dyDescent="0.2">
      <c r="A482" s="194"/>
      <c r="B482" s="195"/>
      <c r="C482" s="218"/>
      <c r="D482" s="196" t="s">
        <v>302</v>
      </c>
      <c r="E482" s="197"/>
      <c r="F482" s="259">
        <f t="shared" si="1"/>
        <v>0</v>
      </c>
      <c r="G482" s="201">
        <f t="shared" si="3"/>
        <v>0</v>
      </c>
    </row>
    <row r="483" spans="1:10" ht="12.75" hidden="1" customHeight="1" x14ac:dyDescent="0.2">
      <c r="D483" s="241" t="s">
        <v>357</v>
      </c>
      <c r="F483" s="259">
        <f t="shared" si="1"/>
        <v>0</v>
      </c>
      <c r="G483" s="201">
        <f t="shared" si="3"/>
        <v>0</v>
      </c>
    </row>
    <row r="484" spans="1:10" ht="12.75" hidden="1" customHeight="1" x14ac:dyDescent="0.2">
      <c r="D484" s="241" t="s">
        <v>356</v>
      </c>
      <c r="F484" s="259">
        <f t="shared" si="1"/>
        <v>0</v>
      </c>
      <c r="G484" s="201">
        <f t="shared" si="3"/>
        <v>0</v>
      </c>
    </row>
    <row r="485" spans="1:10" s="260" customFormat="1" ht="12.75" hidden="1" customHeight="1" x14ac:dyDescent="0.2">
      <c r="A485" s="188"/>
      <c r="B485" s="188"/>
      <c r="C485" s="188"/>
      <c r="D485" s="241" t="s">
        <v>358</v>
      </c>
      <c r="E485" s="188"/>
      <c r="F485" s="259">
        <f t="shared" si="1"/>
        <v>0</v>
      </c>
      <c r="G485" s="201">
        <f t="shared" si="3"/>
        <v>0</v>
      </c>
      <c r="H485" s="296"/>
      <c r="I485" s="333"/>
    </row>
    <row r="486" spans="1:10" ht="12.75" hidden="1" customHeight="1" x14ac:dyDescent="0.2">
      <c r="D486" s="196" t="s">
        <v>523</v>
      </c>
      <c r="F486" s="346">
        <f>SUM(SUMIF(D$12:D$458,"*WPB*",F$12:F$458))</f>
        <v>-526.30999999999995</v>
      </c>
      <c r="G486" s="201">
        <f t="shared" si="3"/>
        <v>-526.30999999999995</v>
      </c>
    </row>
    <row r="487" spans="1:10" ht="12.75" hidden="1" customHeight="1" x14ac:dyDescent="0.2">
      <c r="D487" s="196" t="s">
        <v>530</v>
      </c>
      <c r="F487" s="346">
        <f>SUM(SUMIF(D$12:D$458,"*FEFP ADJ*",F$12:F$458))</f>
        <v>0</v>
      </c>
      <c r="G487" s="201">
        <f t="shared" si="3"/>
        <v>0</v>
      </c>
    </row>
    <row r="488" spans="1:10" ht="12.75" customHeight="1" x14ac:dyDescent="0.2">
      <c r="D488" s="196"/>
      <c r="F488" s="346"/>
      <c r="G488" s="201"/>
    </row>
    <row r="489" spans="1:10" ht="12.75" customHeight="1" thickBot="1" x14ac:dyDescent="0.25">
      <c r="D489" s="283" t="s">
        <v>249</v>
      </c>
      <c r="E489" s="202">
        <f>SUM(E466:E487)</f>
        <v>17074911.039999999</v>
      </c>
      <c r="F489" s="202">
        <f>SUM(F466:F487)</f>
        <v>-194535.78</v>
      </c>
      <c r="G489" s="202">
        <f>SUM(G466:G488)</f>
        <v>16880375.259999998</v>
      </c>
    </row>
    <row r="490" spans="1:10" ht="12.75" customHeight="1" thickTop="1" x14ac:dyDescent="0.2">
      <c r="D490" s="283"/>
      <c r="E490" s="520"/>
      <c r="F490" s="520"/>
      <c r="G490" s="520"/>
    </row>
    <row r="491" spans="1:10" ht="12.75" customHeight="1" x14ac:dyDescent="0.2">
      <c r="D491" s="283"/>
      <c r="E491" s="520"/>
      <c r="F491" s="520"/>
      <c r="G491" s="520">
        <f>G459-G489</f>
        <v>0</v>
      </c>
    </row>
    <row r="492" spans="1:10" ht="12" customHeight="1" x14ac:dyDescent="0.2">
      <c r="D492" s="283"/>
      <c r="E492" s="520"/>
      <c r="F492" s="520"/>
      <c r="G492" s="520"/>
    </row>
    <row r="493" spans="1:10" ht="12.75" customHeight="1" thickBot="1" x14ac:dyDescent="0.25">
      <c r="E493" s="201"/>
      <c r="F493" s="201"/>
      <c r="G493" s="201"/>
    </row>
    <row r="494" spans="1:10" ht="12.75" customHeight="1" thickBot="1" x14ac:dyDescent="0.25">
      <c r="C494" s="693" t="s">
        <v>277</v>
      </c>
      <c r="D494" s="694"/>
      <c r="E494" s="694"/>
      <c r="F494" s="694"/>
      <c r="G494" s="695"/>
    </row>
    <row r="495" spans="1:10" s="260" customFormat="1" ht="12.75" customHeight="1" x14ac:dyDescent="0.2">
      <c r="A495" s="188"/>
      <c r="B495" s="188"/>
      <c r="C495" s="387"/>
      <c r="D495" s="388"/>
      <c r="E495" s="388"/>
      <c r="F495" s="514"/>
      <c r="G495" s="515"/>
      <c r="H495" s="296"/>
      <c r="I495" s="188"/>
    </row>
    <row r="496" spans="1:10" ht="12.75" customHeight="1" x14ac:dyDescent="0.2">
      <c r="C496" s="457" t="s">
        <v>557</v>
      </c>
      <c r="D496" s="536"/>
      <c r="E496" s="536"/>
      <c r="F496" s="514"/>
      <c r="G496" s="516"/>
    </row>
    <row r="497" spans="3:9" ht="12.75" customHeight="1" x14ac:dyDescent="0.2">
      <c r="C497" s="401" t="s">
        <v>556</v>
      </c>
      <c r="D497" s="536"/>
      <c r="E497" s="536"/>
      <c r="F497" s="514"/>
      <c r="G497" s="516"/>
    </row>
    <row r="498" spans="3:9" ht="12.75" customHeight="1" x14ac:dyDescent="0.2">
      <c r="C498" s="401" t="s">
        <v>522</v>
      </c>
      <c r="D498" s="388"/>
      <c r="E498" s="388"/>
      <c r="F498" s="514"/>
      <c r="G498" s="516"/>
    </row>
    <row r="499" spans="3:9" ht="12.75" customHeight="1" x14ac:dyDescent="0.2">
      <c r="C499" s="401"/>
      <c r="D499" s="388"/>
      <c r="E499" s="388"/>
      <c r="F499" s="514"/>
      <c r="G499" s="516"/>
    </row>
    <row r="500" spans="3:9" ht="12.75" customHeight="1" x14ac:dyDescent="0.2">
      <c r="C500" s="457"/>
      <c r="D500" s="521"/>
      <c r="E500" s="521"/>
      <c r="F500" s="521"/>
      <c r="G500" s="522"/>
      <c r="H500" s="307"/>
      <c r="I500" s="260"/>
    </row>
    <row r="501" spans="3:9" ht="12.75" customHeight="1" x14ac:dyDescent="0.2">
      <c r="C501" s="583" t="s">
        <v>533</v>
      </c>
      <c r="D501" s="581"/>
      <c r="E501" s="581"/>
      <c r="F501" s="581"/>
      <c r="G501" s="582"/>
      <c r="H501" s="307"/>
      <c r="I501" s="260"/>
    </row>
    <row r="502" spans="3:9" ht="12.75" customHeight="1" x14ac:dyDescent="0.2">
      <c r="C502" s="580" t="s">
        <v>555</v>
      </c>
      <c r="D502" s="581"/>
      <c r="E502" s="581"/>
      <c r="F502" s="581"/>
      <c r="G502" s="582"/>
      <c r="H502" s="307"/>
      <c r="I502" s="260"/>
    </row>
    <row r="503" spans="3:9" ht="12.75" customHeight="1" x14ac:dyDescent="0.2">
      <c r="C503" s="401"/>
      <c r="D503" s="521"/>
      <c r="E503" s="521"/>
      <c r="F503" s="521"/>
      <c r="G503" s="522"/>
      <c r="H503" s="307"/>
      <c r="I503" s="260"/>
    </row>
    <row r="504" spans="3:9" ht="12.75" customHeight="1" x14ac:dyDescent="0.2">
      <c r="C504" s="457" t="s">
        <v>559</v>
      </c>
      <c r="D504" s="521"/>
      <c r="E504" s="521"/>
      <c r="F504" s="521"/>
      <c r="G504" s="522"/>
      <c r="H504" s="307"/>
      <c r="I504" s="260"/>
    </row>
    <row r="505" spans="3:9" ht="12.75" customHeight="1" x14ac:dyDescent="0.2">
      <c r="C505" s="401" t="s">
        <v>560</v>
      </c>
      <c r="D505" s="521"/>
      <c r="E505" s="521"/>
      <c r="F505" s="521"/>
      <c r="G505" s="522"/>
      <c r="H505" s="307"/>
      <c r="I505" s="260"/>
    </row>
    <row r="506" spans="3:9" ht="12.75" customHeight="1" x14ac:dyDescent="0.2">
      <c r="C506" s="401" t="s">
        <v>561</v>
      </c>
      <c r="D506" s="521"/>
      <c r="E506" s="521"/>
      <c r="F506" s="521"/>
      <c r="G506" s="522"/>
      <c r="H506" s="307"/>
      <c r="I506" s="260"/>
    </row>
    <row r="507" spans="3:9" ht="12.75" customHeight="1" x14ac:dyDescent="0.2">
      <c r="C507" s="401" t="s">
        <v>558</v>
      </c>
      <c r="D507" s="521"/>
      <c r="E507" s="521"/>
      <c r="F507" s="521"/>
      <c r="G507" s="522"/>
      <c r="H507" s="307"/>
      <c r="I507" s="260"/>
    </row>
    <row r="508" spans="3:9" ht="12.75" customHeight="1" x14ac:dyDescent="0.2">
      <c r="C508" s="686" t="s">
        <v>562</v>
      </c>
      <c r="D508" s="521"/>
      <c r="E508" s="521"/>
      <c r="F508" s="521"/>
      <c r="G508" s="522"/>
      <c r="H508" s="307"/>
      <c r="I508" s="260"/>
    </row>
    <row r="509" spans="3:9" ht="12.75" customHeight="1" x14ac:dyDescent="0.2">
      <c r="C509" s="686" t="s">
        <v>563</v>
      </c>
      <c r="D509" s="521"/>
      <c r="E509" s="521"/>
      <c r="F509" s="521"/>
      <c r="G509" s="522"/>
      <c r="H509" s="307"/>
      <c r="I509" s="260"/>
    </row>
    <row r="510" spans="3:9" ht="12.75" customHeight="1" x14ac:dyDescent="0.2">
      <c r="C510" s="401"/>
      <c r="D510" s="521"/>
      <c r="E510" s="521"/>
      <c r="F510" s="521"/>
      <c r="G510" s="522"/>
      <c r="H510" s="307"/>
      <c r="I510" s="260"/>
    </row>
    <row r="511" spans="3:9" ht="12.75" customHeight="1" thickBot="1" x14ac:dyDescent="0.25">
      <c r="C511" s="398"/>
      <c r="D511" s="389"/>
      <c r="E511" s="389"/>
      <c r="F511" s="389"/>
      <c r="G511" s="517"/>
      <c r="H511" s="307"/>
      <c r="I511" s="260"/>
    </row>
    <row r="512" spans="3:9" ht="12.75" customHeight="1" x14ac:dyDescent="0.2">
      <c r="H512" s="307"/>
      <c r="I512" s="260"/>
    </row>
    <row r="513" spans="5:11" ht="12.75" customHeight="1" x14ac:dyDescent="0.2">
      <c r="H513" s="307"/>
      <c r="I513" s="260"/>
    </row>
    <row r="514" spans="5:11" ht="12.75" customHeight="1" x14ac:dyDescent="0.2">
      <c r="H514" s="307"/>
      <c r="I514" s="260"/>
    </row>
    <row r="515" spans="5:11" ht="12.75" customHeight="1" x14ac:dyDescent="0.2">
      <c r="H515" s="307"/>
      <c r="I515" s="260"/>
    </row>
    <row r="516" spans="5:11" ht="12.75" customHeight="1" x14ac:dyDescent="0.2">
      <c r="H516" s="307"/>
      <c r="I516" s="260"/>
    </row>
    <row r="517" spans="5:11" ht="12.75" customHeight="1" x14ac:dyDescent="0.2">
      <c r="H517" s="307"/>
      <c r="I517" s="260"/>
    </row>
    <row r="518" spans="5:11" ht="12.75" customHeight="1" x14ac:dyDescent="0.2">
      <c r="H518" s="307"/>
      <c r="I518" s="260"/>
    </row>
    <row r="519" spans="5:11" ht="12.75" customHeight="1" x14ac:dyDescent="0.2">
      <c r="H519" s="307"/>
      <c r="I519" s="260"/>
    </row>
    <row r="520" spans="5:11" ht="12.75" customHeight="1" x14ac:dyDescent="0.2">
      <c r="H520" s="307"/>
      <c r="I520" s="260"/>
    </row>
    <row r="521" spans="5:11" ht="12.75" customHeight="1" x14ac:dyDescent="0.2">
      <c r="H521" s="251"/>
    </row>
    <row r="522" spans="5:11" ht="12.75" customHeight="1" x14ac:dyDescent="0.2">
      <c r="E522" s="295"/>
      <c r="F522" s="188"/>
    </row>
    <row r="523" spans="5:11" ht="12.75" customHeight="1" x14ac:dyDescent="0.2">
      <c r="E523" s="295"/>
      <c r="F523" s="188"/>
    </row>
    <row r="525" spans="5:11" ht="12.75" customHeight="1" x14ac:dyDescent="0.2">
      <c r="K525" s="295"/>
    </row>
    <row r="526" spans="5:11" ht="12.75" customHeight="1" x14ac:dyDescent="0.2">
      <c r="K526" s="295"/>
    </row>
    <row r="532" spans="8:8" ht="12.75" customHeight="1" x14ac:dyDescent="0.2">
      <c r="H532" s="188"/>
    </row>
    <row r="533" spans="8:8" ht="12.75" customHeight="1" x14ac:dyDescent="0.2">
      <c r="H533" s="188"/>
    </row>
  </sheetData>
  <mergeCells count="2">
    <mergeCell ref="F3:G3"/>
    <mergeCell ref="C494:G494"/>
  </mergeCells>
  <conditionalFormatting sqref="A12:A458">
    <cfRule type="cellIs" dxfId="10" priority="1" operator="equal">
      <formula>0</formula>
    </cfRule>
  </conditionalFormatting>
  <conditionalFormatting sqref="A475">
    <cfRule type="cellIs" dxfId="9" priority="178" operator="equal">
      <formula>0</formula>
    </cfRule>
  </conditionalFormatting>
  <conditionalFormatting sqref="A482">
    <cfRule type="cellIs" dxfId="8" priority="307" operator="equal">
      <formula>0</formula>
    </cfRule>
  </conditionalFormatting>
  <conditionalFormatting sqref="H477:H484 H486:H494">
    <cfRule type="cellIs" dxfId="7" priority="301" stopIfTrue="1" operator="notEqual">
      <formula>0</formula>
    </cfRule>
    <cfRule type="cellIs" dxfId="6" priority="302" stopIfTrue="1" operator="equal">
      <formula>0</formula>
    </cfRule>
  </conditionalFormatting>
  <conditionalFormatting sqref="H496:H498">
    <cfRule type="cellIs" dxfId="5" priority="299" stopIfTrue="1" operator="notEqual">
      <formula>0</formula>
    </cfRule>
    <cfRule type="cellIs" dxfId="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B8:C44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CC"/>
  </sheetPr>
  <dimension ref="A1:V221"/>
  <sheetViews>
    <sheetView topLeftCell="A27" workbookViewId="0">
      <selection activeCell="I145" sqref="I14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117</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0</v>
      </c>
      <c r="D30" s="94">
        <f>SUM(D14:D29)</f>
        <v>0</v>
      </c>
      <c r="E30" s="94">
        <f>SUM(E14:E29)</f>
        <v>0</v>
      </c>
      <c r="F30" s="724"/>
      <c r="G30" s="724"/>
      <c r="H30" s="99">
        <f>SUM(H14:H29)</f>
        <v>0</v>
      </c>
      <c r="I30" s="94">
        <f>SUM(I14:I29)</f>
        <v>0</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173308.56</v>
      </c>
      <c r="G51" s="109" t="s">
        <v>6</v>
      </c>
      <c r="H51" s="420">
        <v>5.5899999999999998E-2</v>
      </c>
      <c r="I51" s="101">
        <v>0</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173308.56</v>
      </c>
      <c r="G52" s="109" t="s">
        <v>6</v>
      </c>
      <c r="H52" s="420">
        <v>1.0699999999999999E-2</v>
      </c>
      <c r="I52" s="101">
        <v>0</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0</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0</v>
      </c>
      <c r="D66" s="97">
        <f>SUM(D57:D65)</f>
        <v>0</v>
      </c>
      <c r="E66" s="97">
        <f>SUM(E57:E65)</f>
        <v>0</v>
      </c>
      <c r="F66" s="708" t="s">
        <v>464</v>
      </c>
      <c r="G66" s="708"/>
      <c r="H66" s="708"/>
      <c r="I66" s="97">
        <f>SUM(I57:I65)</f>
        <v>0</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0</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0</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0</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0</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0</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0</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0</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0</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0</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0</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0</v>
      </c>
      <c r="I85" s="101">
        <f>ROUND(F85*H85,2)</f>
        <v>0</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0</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0</v>
      </c>
      <c r="I90" s="101">
        <f>ROUND(F90*H90,2)</f>
        <v>0</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0</v>
      </c>
      <c r="I92" s="101">
        <f t="shared" ref="I92:I96" si="14">ROUND(F92*H92,2)</f>
        <v>0</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0</v>
      </c>
      <c r="I94" s="101">
        <f t="shared" si="14"/>
        <v>0</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0</v>
      </c>
      <c r="I96" s="101">
        <f t="shared" si="14"/>
        <v>0</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0</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0</v>
      </c>
      <c r="D107" s="716"/>
      <c r="E107" s="123"/>
      <c r="F107" s="123"/>
      <c r="G107" s="123"/>
      <c r="H107" s="124" t="s">
        <v>100</v>
      </c>
      <c r="I107" s="101">
        <f>IF(A1=75,0,H106+H105+H104)</f>
        <v>0</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0</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0</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v>1</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118</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40.119999999999997</v>
      </c>
      <c r="D14" s="141">
        <v>0</v>
      </c>
      <c r="E14" s="187">
        <f>IF(D$30=0,C14*2,C14+D14)</f>
        <v>80.239999999999995</v>
      </c>
      <c r="F14" s="797">
        <f>'1461'!F14:G14</f>
        <v>1.1180000000000001</v>
      </c>
      <c r="G14" s="797"/>
      <c r="H14" s="145">
        <f>ROUND(E14*F14,4)</f>
        <v>89.708299999999994</v>
      </c>
      <c r="I14" s="111">
        <f>ROUND(ROUND(ROUND(H14*$C$8,4)*($H$8),2)*(MAX($H$9,1)),2)</f>
        <v>497745.07</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5</v>
      </c>
      <c r="D15" s="143">
        <v>0</v>
      </c>
      <c r="E15" s="116">
        <f t="shared" ref="E15:E29" si="1">IF(D$30=0,C15*2,C15+D15)</f>
        <v>10</v>
      </c>
      <c r="F15" s="788">
        <f>'1461'!F15:G15</f>
        <v>1.1180000000000001</v>
      </c>
      <c r="G15" s="788"/>
      <c r="H15" s="80">
        <f t="shared" ref="H15:H29" si="2">ROUND(E15*F15,4)</f>
        <v>11.18</v>
      </c>
      <c r="I15" s="101">
        <f t="shared" ref="I15:I29" si="3">ROUND(ROUND(ROUND(H15*$C$8,4)*($H$8),2)*(MAX($H$9,1)),2)</f>
        <v>62032.05</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17</v>
      </c>
      <c r="D16" s="143">
        <v>0</v>
      </c>
      <c r="E16" s="116">
        <f t="shared" si="1"/>
        <v>34</v>
      </c>
      <c r="F16" s="788">
        <f>'1461'!F16:G16</f>
        <v>1</v>
      </c>
      <c r="G16" s="788"/>
      <c r="H16" s="80">
        <f t="shared" si="2"/>
        <v>34</v>
      </c>
      <c r="I16" s="101">
        <f t="shared" si="3"/>
        <v>188648.46</v>
      </c>
      <c r="N16" s="747" t="s">
        <v>22</v>
      </c>
      <c r="O16" s="747"/>
      <c r="P16" s="789">
        <f t="shared" si="0"/>
        <v>0</v>
      </c>
      <c r="Q16" s="789"/>
      <c r="R16" s="793">
        <v>1</v>
      </c>
      <c r="S16" s="793"/>
      <c r="T16" s="95">
        <f t="shared" si="4"/>
        <v>0</v>
      </c>
      <c r="U16" s="492">
        <f t="shared" si="5"/>
        <v>0</v>
      </c>
    </row>
    <row r="17" spans="1:21" x14ac:dyDescent="0.25">
      <c r="A17" s="705" t="s">
        <v>23</v>
      </c>
      <c r="B17" s="705"/>
      <c r="C17" s="143">
        <v>2.5</v>
      </c>
      <c r="D17" s="143">
        <v>0</v>
      </c>
      <c r="E17" s="116">
        <f t="shared" si="1"/>
        <v>5</v>
      </c>
      <c r="F17" s="788">
        <f>'1461'!F17:G17</f>
        <v>1</v>
      </c>
      <c r="G17" s="788"/>
      <c r="H17" s="80">
        <f t="shared" si="2"/>
        <v>5</v>
      </c>
      <c r="I17" s="101">
        <f t="shared" si="3"/>
        <v>27742.42</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26.379999999999995</v>
      </c>
      <c r="D26" s="143">
        <v>0</v>
      </c>
      <c r="E26" s="116">
        <f t="shared" si="1"/>
        <v>52.759999999999991</v>
      </c>
      <c r="F26" s="788">
        <f>'1461'!F26:G26</f>
        <v>1.1919999999999999</v>
      </c>
      <c r="G26" s="788"/>
      <c r="H26" s="80">
        <f t="shared" si="2"/>
        <v>62.889899999999997</v>
      </c>
      <c r="I26" s="101">
        <f t="shared" si="3"/>
        <v>348943.6</v>
      </c>
      <c r="N26" s="747" t="s">
        <v>85</v>
      </c>
      <c r="O26" s="747"/>
      <c r="P26" s="789">
        <f t="shared" si="0"/>
        <v>0</v>
      </c>
      <c r="Q26" s="789"/>
      <c r="R26" s="793">
        <v>1</v>
      </c>
      <c r="S26" s="793"/>
      <c r="T26" s="95">
        <f t="shared" si="4"/>
        <v>0</v>
      </c>
      <c r="U26" s="492">
        <f t="shared" si="5"/>
        <v>0</v>
      </c>
    </row>
    <row r="27" spans="1:21" x14ac:dyDescent="0.25">
      <c r="A27" s="705" t="s">
        <v>86</v>
      </c>
      <c r="B27" s="705"/>
      <c r="C27" s="143">
        <v>5</v>
      </c>
      <c r="D27" s="143">
        <v>0</v>
      </c>
      <c r="E27" s="116">
        <f t="shared" si="1"/>
        <v>10</v>
      </c>
      <c r="F27" s="788">
        <f>'1461'!F27:G27</f>
        <v>1.1919999999999999</v>
      </c>
      <c r="G27" s="788"/>
      <c r="H27" s="80">
        <f t="shared" si="2"/>
        <v>11.92</v>
      </c>
      <c r="I27" s="101">
        <f t="shared" si="3"/>
        <v>66137.929999999993</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96</v>
      </c>
      <c r="D30" s="94">
        <f>SUM(D14:D29)</f>
        <v>0</v>
      </c>
      <c r="E30" s="94">
        <f>SUM(E14:E29)</f>
        <v>192</v>
      </c>
      <c r="F30" s="724"/>
      <c r="G30" s="724"/>
      <c r="H30" s="99">
        <f>SUM(H14:H29)</f>
        <v>214.69819999999996</v>
      </c>
      <c r="I30" s="94">
        <f>SUM(I14:I29)</f>
        <v>1191249.53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1247703.69</v>
      </c>
      <c r="G51" s="109" t="s">
        <v>6</v>
      </c>
      <c r="H51" s="420">
        <v>5.5899999999999998E-2</v>
      </c>
      <c r="I51" s="101">
        <f>ROUND(F51*H51,2)</f>
        <v>69746.64</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1247703.69</v>
      </c>
      <c r="G52" s="109" t="s">
        <v>6</v>
      </c>
      <c r="H52" s="420">
        <v>1.0699999999999999E-2</v>
      </c>
      <c r="I52" s="101">
        <f>ROUND(F52*H52,2)</f>
        <v>13350.43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83097.070000000007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4.49</v>
      </c>
      <c r="D57" s="143">
        <v>0</v>
      </c>
      <c r="E57" s="116">
        <f t="shared" ref="E57:E65" si="10">IF(D$66=0,C57*2,C57+D57)</f>
        <v>8.98</v>
      </c>
      <c r="F57" s="462" t="s">
        <v>455</v>
      </c>
      <c r="G57" s="462">
        <v>251</v>
      </c>
      <c r="H57" s="476">
        <f>'1461'!H57</f>
        <v>1047</v>
      </c>
      <c r="I57" s="101">
        <f>ROUND(E57*H57,2)</f>
        <v>9402.06</v>
      </c>
      <c r="N57" s="778" t="s">
        <v>463</v>
      </c>
      <c r="O57" s="778"/>
      <c r="P57" s="780"/>
      <c r="Q57" s="780"/>
      <c r="R57" s="468" t="s">
        <v>455</v>
      </c>
      <c r="S57" s="468">
        <v>251</v>
      </c>
      <c r="T57" s="479">
        <f>H57</f>
        <v>1047</v>
      </c>
      <c r="U57" s="493">
        <f>ROUND(P57*T57,2)</f>
        <v>0</v>
      </c>
      <c r="V57" s="443"/>
    </row>
    <row r="58" spans="1:22" x14ac:dyDescent="0.25">
      <c r="A58" s="721"/>
      <c r="B58" s="721"/>
      <c r="C58" s="143">
        <v>0.51</v>
      </c>
      <c r="D58" s="143">
        <v>0</v>
      </c>
      <c r="E58" s="116">
        <f t="shared" si="10"/>
        <v>1.02</v>
      </c>
      <c r="F58" s="462" t="s">
        <v>455</v>
      </c>
      <c r="G58" s="462">
        <v>252</v>
      </c>
      <c r="H58" s="476">
        <f>'1461'!H58</f>
        <v>3380</v>
      </c>
      <c r="I58" s="101">
        <f t="shared" ref="I58:I65" si="11">ROUND(E58*H58,2)</f>
        <v>3447.6</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2.35</v>
      </c>
      <c r="D60" s="143">
        <v>0</v>
      </c>
      <c r="E60" s="116">
        <f t="shared" si="10"/>
        <v>4.7</v>
      </c>
      <c r="F60" s="463" t="s">
        <v>13</v>
      </c>
      <c r="G60" s="462">
        <v>251</v>
      </c>
      <c r="H60" s="476">
        <f>'1461'!H60</f>
        <v>1173</v>
      </c>
      <c r="I60" s="101">
        <f t="shared" si="11"/>
        <v>5513.1</v>
      </c>
      <c r="N60" s="779"/>
      <c r="O60" s="779"/>
      <c r="P60" s="773"/>
      <c r="Q60" s="773"/>
      <c r="R60" s="40" t="s">
        <v>13</v>
      </c>
      <c r="S60" s="468">
        <v>251</v>
      </c>
      <c r="T60" s="479">
        <f t="shared" si="12"/>
        <v>1173</v>
      </c>
      <c r="U60" s="493">
        <f t="shared" si="13"/>
        <v>0</v>
      </c>
      <c r="V60" s="443"/>
    </row>
    <row r="61" spans="1:22" x14ac:dyDescent="0.25">
      <c r="A61" s="721"/>
      <c r="B61" s="721"/>
      <c r="C61" s="143">
        <v>0.15</v>
      </c>
      <c r="D61" s="143">
        <v>0</v>
      </c>
      <c r="E61" s="116">
        <f t="shared" si="10"/>
        <v>0.3</v>
      </c>
      <c r="F61" s="463" t="s">
        <v>13</v>
      </c>
      <c r="G61" s="462">
        <v>252</v>
      </c>
      <c r="H61" s="476">
        <f>'1461'!H61</f>
        <v>3506</v>
      </c>
      <c r="I61" s="101">
        <f t="shared" si="11"/>
        <v>1051.8</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7.5</v>
      </c>
      <c r="D66" s="97">
        <f>SUM(D57:D65)</f>
        <v>0</v>
      </c>
      <c r="E66" s="97">
        <f>SUM(E57:E65)</f>
        <v>15</v>
      </c>
      <c r="F66" s="708" t="s">
        <v>464</v>
      </c>
      <c r="G66" s="708"/>
      <c r="H66" s="708"/>
      <c r="I66" s="97">
        <f>SUM(I57:I65)</f>
        <v>19414.560000000001</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192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9.1299999999999997E-4</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214.69819999999996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9.1399999999999999E-4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192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1.023E-3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192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9.1500000000000001E-4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192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1.0250000000000001E-3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9.1500000000000001E-4</v>
      </c>
      <c r="I85" s="101">
        <f>ROUND(F85*H85,2)</f>
        <v>42239.79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9.1299999999999997E-4</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1.0250000000000001E-3</v>
      </c>
      <c r="I90" s="101">
        <f>ROUND(F90*H90,2)</f>
        <v>19518.080000000002</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1.023E-3</v>
      </c>
      <c r="I92" s="101">
        <f t="shared" ref="I92:I96" si="14">ROUND(F92*H92,2)</f>
        <v>11704.3</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9.1399999999999999E-4</v>
      </c>
      <c r="I94" s="101">
        <f t="shared" si="14"/>
        <v>233761.73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9.1399999999999999E-4</v>
      </c>
      <c r="I96" s="101">
        <f t="shared" si="14"/>
        <v>-1449.2</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9.1299999999999997E-4</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163.77819999999997</v>
      </c>
      <c r="D104" s="703"/>
      <c r="E104" s="46">
        <f>H8</f>
        <v>1.0407999999999999</v>
      </c>
      <c r="F104" s="302">
        <f>'1461'!F104</f>
        <v>950.92</v>
      </c>
      <c r="G104" s="39" t="s">
        <v>12</v>
      </c>
      <c r="H104" s="101">
        <f>ROUND(C104*E104*F104,2)</f>
        <v>162094.16</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50.92</v>
      </c>
      <c r="D105" s="703"/>
      <c r="E105" s="46">
        <f>H8</f>
        <v>1.0407999999999999</v>
      </c>
      <c r="F105" s="302">
        <f>'1461'!F105</f>
        <v>907.92</v>
      </c>
      <c r="G105" s="39" t="s">
        <v>12</v>
      </c>
      <c r="H105" s="101">
        <f>ROUND(C105*E105*F105,2)</f>
        <v>48117.52</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214.69819999999999</v>
      </c>
      <c r="D107" s="716"/>
      <c r="E107" s="123"/>
      <c r="F107" s="123"/>
      <c r="G107" s="123"/>
      <c r="H107" s="124" t="s">
        <v>100</v>
      </c>
      <c r="I107" s="101">
        <f>IF(A1=75,0,H106+H105+H104)</f>
        <v>210211.68</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25</v>
      </c>
      <c r="D113" s="143">
        <v>32</v>
      </c>
      <c r="E113" s="116">
        <f>(C113+D113)/2</f>
        <v>28.5</v>
      </c>
      <c r="F113" s="126" t="s">
        <v>30</v>
      </c>
      <c r="G113" s="303">
        <f>'1461'!G113</f>
        <v>567</v>
      </c>
      <c r="I113" s="101">
        <f>ROUND(G113*E113,2)</f>
        <v>16159.5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1742809.9700000002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1659712.9000000001</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1659712.9000000001</v>
      </c>
      <c r="I135" s="94">
        <f>ROUND(IF(E30=0,0,IF(E30&gt;250,-(((250/E30)*H135)*IF(G135="H",0.02,0.05)),IF(G135="H",-0.02*H135,-0.05*H135))),2)</f>
        <v>-82985.649999999994</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1659824.3200000003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-723588.53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936235.79000000027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133747.97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CCCC"/>
  </sheetPr>
  <dimension ref="A1:V221"/>
  <sheetViews>
    <sheetView topLeftCell="A21"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285</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75</v>
      </c>
      <c r="D14" s="141">
        <v>0</v>
      </c>
      <c r="E14" s="187">
        <f>IF(D$30=0,C14*2,C14+D14)</f>
        <v>150</v>
      </c>
      <c r="F14" s="797">
        <f>'1461'!F14:G14</f>
        <v>1.1180000000000001</v>
      </c>
      <c r="G14" s="797"/>
      <c r="H14" s="145">
        <f>ROUND(E14*F14,4)</f>
        <v>167.7</v>
      </c>
      <c r="I14" s="111">
        <f>ROUND(ROUND(ROUND(H14*$C$8,4)*($H$8),2)*(MAX($H$9,1)),2)</f>
        <v>930480.76</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8</v>
      </c>
      <c r="D15" s="143">
        <v>0</v>
      </c>
      <c r="E15" s="116">
        <f t="shared" ref="E15:E29" si="1">IF(D$30=0,C15*2,C15+D15)</f>
        <v>16</v>
      </c>
      <c r="F15" s="788">
        <f>'1461'!F15:G15</f>
        <v>1.1180000000000001</v>
      </c>
      <c r="G15" s="788"/>
      <c r="H15" s="80">
        <f t="shared" ref="H15:H29" si="2">ROUND(E15*F15,4)</f>
        <v>17.888000000000002</v>
      </c>
      <c r="I15" s="101">
        <f t="shared" ref="I15:I29" si="3">ROUND(ROUND(ROUND(H15*$C$8,4)*($H$8),2)*(MAX($H$9,1)),2)</f>
        <v>99251.28</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101.7</v>
      </c>
      <c r="D16" s="143">
        <v>0</v>
      </c>
      <c r="E16" s="116">
        <f t="shared" si="1"/>
        <v>203.4</v>
      </c>
      <c r="F16" s="788">
        <f>'1461'!F16:G16</f>
        <v>1</v>
      </c>
      <c r="G16" s="788"/>
      <c r="H16" s="80">
        <f t="shared" si="2"/>
        <v>203.4</v>
      </c>
      <c r="I16" s="101">
        <f t="shared" si="3"/>
        <v>1128561.6399999999</v>
      </c>
      <c r="N16" s="747" t="s">
        <v>22</v>
      </c>
      <c r="O16" s="747"/>
      <c r="P16" s="789">
        <f t="shared" si="0"/>
        <v>0</v>
      </c>
      <c r="Q16" s="789"/>
      <c r="R16" s="793">
        <v>1</v>
      </c>
      <c r="S16" s="793"/>
      <c r="T16" s="95">
        <f t="shared" si="4"/>
        <v>0</v>
      </c>
      <c r="U16" s="492">
        <f t="shared" si="5"/>
        <v>0</v>
      </c>
    </row>
    <row r="17" spans="1:21" x14ac:dyDescent="0.25">
      <c r="A17" s="705" t="s">
        <v>23</v>
      </c>
      <c r="B17" s="705"/>
      <c r="C17" s="143">
        <v>17.5</v>
      </c>
      <c r="D17" s="143">
        <v>0</v>
      </c>
      <c r="E17" s="116">
        <f t="shared" si="1"/>
        <v>35</v>
      </c>
      <c r="F17" s="788">
        <f>'1461'!F17:G17</f>
        <v>1</v>
      </c>
      <c r="G17" s="788"/>
      <c r="H17" s="80">
        <f t="shared" si="2"/>
        <v>35</v>
      </c>
      <c r="I17" s="101">
        <f t="shared" si="3"/>
        <v>194196.94</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43.5</v>
      </c>
      <c r="D26" s="143">
        <v>0</v>
      </c>
      <c r="E26" s="116">
        <f t="shared" si="1"/>
        <v>87</v>
      </c>
      <c r="F26" s="788">
        <f>'1461'!F26:G26</f>
        <v>1.1919999999999999</v>
      </c>
      <c r="G26" s="788"/>
      <c r="H26" s="80">
        <f t="shared" si="2"/>
        <v>103.70399999999999</v>
      </c>
      <c r="I26" s="101">
        <f t="shared" si="3"/>
        <v>575399.98</v>
      </c>
      <c r="N26" s="747" t="s">
        <v>85</v>
      </c>
      <c r="O26" s="747"/>
      <c r="P26" s="789">
        <f t="shared" si="0"/>
        <v>0</v>
      </c>
      <c r="Q26" s="789"/>
      <c r="R26" s="793">
        <v>1</v>
      </c>
      <c r="S26" s="793"/>
      <c r="T26" s="95">
        <f t="shared" si="4"/>
        <v>0</v>
      </c>
      <c r="U26" s="492">
        <f t="shared" si="5"/>
        <v>0</v>
      </c>
    </row>
    <row r="27" spans="1:21" x14ac:dyDescent="0.25">
      <c r="A27" s="705" t="s">
        <v>86</v>
      </c>
      <c r="B27" s="705"/>
      <c r="C27" s="143">
        <v>11.81</v>
      </c>
      <c r="D27" s="143">
        <v>0</v>
      </c>
      <c r="E27" s="116">
        <f t="shared" si="1"/>
        <v>23.62</v>
      </c>
      <c r="F27" s="788">
        <f>'1461'!F27:G27</f>
        <v>1.1919999999999999</v>
      </c>
      <c r="G27" s="788"/>
      <c r="H27" s="80">
        <f t="shared" si="2"/>
        <v>28.155000000000001</v>
      </c>
      <c r="I27" s="101">
        <f t="shared" si="3"/>
        <v>156217.57</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257.51</v>
      </c>
      <c r="D30" s="94">
        <f>SUM(D14:D29)</f>
        <v>0</v>
      </c>
      <c r="E30" s="94">
        <f>SUM(E14:E29)</f>
        <v>515.02</v>
      </c>
      <c r="F30" s="724"/>
      <c r="G30" s="724"/>
      <c r="H30" s="99">
        <f>SUM(H14:H29)</f>
        <v>555.84699999999998</v>
      </c>
      <c r="I30" s="94">
        <f>SUM(I14:I29)</f>
        <v>3084108.1699999995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3133058.57</v>
      </c>
      <c r="G51" s="109" t="s">
        <v>6</v>
      </c>
      <c r="H51" s="420">
        <v>5.5899999999999998E-2</v>
      </c>
      <c r="I51" s="101">
        <f>ROUND(F51*H51,2)</f>
        <v>175137.97</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3133058.57</v>
      </c>
      <c r="G52" s="109" t="s">
        <v>6</v>
      </c>
      <c r="H52" s="420">
        <v>1.0699999999999999E-2</v>
      </c>
      <c r="I52" s="101">
        <f>ROUND(F52*H52,2)</f>
        <v>33523.730000000003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208661.7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8</v>
      </c>
      <c r="D57" s="143">
        <v>0</v>
      </c>
      <c r="E57" s="116">
        <f t="shared" ref="E57:E65" si="10">IF(D$66=0,C57*2,C57+D57)</f>
        <v>16</v>
      </c>
      <c r="F57" s="462" t="s">
        <v>455</v>
      </c>
      <c r="G57" s="462">
        <v>251</v>
      </c>
      <c r="H57" s="476">
        <f>'1461'!H57</f>
        <v>1047</v>
      </c>
      <c r="I57" s="101">
        <f>ROUND(E57*H57,2)</f>
        <v>16752</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17.29</v>
      </c>
      <c r="D60" s="143">
        <v>0</v>
      </c>
      <c r="E60" s="116">
        <f t="shared" si="10"/>
        <v>34.58</v>
      </c>
      <c r="F60" s="463" t="s">
        <v>13</v>
      </c>
      <c r="G60" s="462">
        <v>251</v>
      </c>
      <c r="H60" s="476">
        <f>'1461'!H60</f>
        <v>1173</v>
      </c>
      <c r="I60" s="101">
        <f t="shared" si="11"/>
        <v>40562.339999999997</v>
      </c>
      <c r="N60" s="779"/>
      <c r="O60" s="779"/>
      <c r="P60" s="773"/>
      <c r="Q60" s="773"/>
      <c r="R60" s="40" t="s">
        <v>13</v>
      </c>
      <c r="S60" s="468">
        <v>251</v>
      </c>
      <c r="T60" s="479">
        <f t="shared" si="12"/>
        <v>1173</v>
      </c>
      <c r="U60" s="493">
        <f t="shared" si="13"/>
        <v>0</v>
      </c>
      <c r="V60" s="443"/>
    </row>
    <row r="61" spans="1:22" x14ac:dyDescent="0.25">
      <c r="A61" s="721"/>
      <c r="B61" s="721"/>
      <c r="C61" s="143">
        <v>0.21</v>
      </c>
      <c r="D61" s="143">
        <v>0</v>
      </c>
      <c r="E61" s="116">
        <f t="shared" si="10"/>
        <v>0.42</v>
      </c>
      <c r="F61" s="463" t="s">
        <v>13</v>
      </c>
      <c r="G61" s="462">
        <v>252</v>
      </c>
      <c r="H61" s="476">
        <f>'1461'!H61</f>
        <v>3506</v>
      </c>
      <c r="I61" s="101">
        <f t="shared" si="11"/>
        <v>1472.52</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25.5</v>
      </c>
      <c r="D66" s="97">
        <f>SUM(D57:D65)</f>
        <v>0</v>
      </c>
      <c r="E66" s="97">
        <f>SUM(E57:E65)</f>
        <v>51</v>
      </c>
      <c r="F66" s="708" t="s">
        <v>464</v>
      </c>
      <c r="G66" s="708"/>
      <c r="H66" s="708"/>
      <c r="I66" s="97">
        <f>SUM(I57:I65)</f>
        <v>58786.859999999993</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515.02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2.4499999999999999E-3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555.84699999999998</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2.366E-3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515.02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2.7439999999999999E-3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515.02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2.454E-3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515.02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2.7490000000000001E-3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2.454E-3</v>
      </c>
      <c r="I85" s="101">
        <f>ROUND(F85*H85,2)</f>
        <v>113285.73</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2.4499999999999999E-3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2.7490000000000001E-3</v>
      </c>
      <c r="I90" s="101">
        <f>ROUND(F90*H90,2)</f>
        <v>52346.53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2.7439999999999999E-3</v>
      </c>
      <c r="I92" s="101">
        <f t="shared" ref="I92:I96" si="14">ROUND(F92*H92,2)</f>
        <v>31394.52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2.366E-3</v>
      </c>
      <c r="I94" s="101">
        <f t="shared" si="14"/>
        <v>605120.63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2.366E-3</v>
      </c>
      <c r="I96" s="101">
        <f t="shared" si="14"/>
        <v>-3751.43</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2.4499999999999999E-3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289.29199999999997</v>
      </c>
      <c r="D104" s="703"/>
      <c r="E104" s="46">
        <f>H8</f>
        <v>1.0407999999999999</v>
      </c>
      <c r="F104" s="302">
        <f>'1461'!F104</f>
        <v>950.92</v>
      </c>
      <c r="G104" s="39" t="s">
        <v>12</v>
      </c>
      <c r="H104" s="101">
        <f>ROUND(C104*E104*F104,2)</f>
        <v>286317.37</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266.55500000000001</v>
      </c>
      <c r="D105" s="703"/>
      <c r="E105" s="46">
        <f>H8</f>
        <v>1.0407999999999999</v>
      </c>
      <c r="F105" s="302">
        <f>'1461'!F105</f>
        <v>907.92</v>
      </c>
      <c r="G105" s="39" t="s">
        <v>12</v>
      </c>
      <c r="H105" s="101">
        <f>ROUND(C105*E105*F105,2)</f>
        <v>251884.65</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555.84699999999998</v>
      </c>
      <c r="D107" s="716"/>
      <c r="E107" s="123"/>
      <c r="F107" s="123"/>
      <c r="G107" s="123"/>
      <c r="H107" s="124" t="s">
        <v>100</v>
      </c>
      <c r="I107" s="101">
        <f>IF(A1=75,0,H106+H105+H104)</f>
        <v>538202.02</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25</v>
      </c>
      <c r="D113" s="143">
        <v>22</v>
      </c>
      <c r="E113" s="116">
        <f>(C113+D113)/2</f>
        <v>23.5</v>
      </c>
      <c r="F113" s="126" t="s">
        <v>30</v>
      </c>
      <c r="G113" s="303">
        <f>'1461'!G113</f>
        <v>567</v>
      </c>
      <c r="I113" s="101">
        <f>ROUND(G113*E113,2)</f>
        <v>13324.5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4492817.5299999993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4284155.8299999991</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4284155.8299999991</v>
      </c>
      <c r="I135" s="94">
        <f>ROUND(IF(E30=0,0,IF(E30&gt;250,-(((250/E30)*H135)*IF(G135="H",0.02,0.05)),IF(G135="H",-0.02*H135,-0.05*H135))),2)</f>
        <v>-103980.33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4388837.1999999993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-1858635.7000000002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2530201.4999999991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361457.36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110227.46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CCCC"/>
  </sheetPr>
  <dimension ref="A1:V221"/>
  <sheetViews>
    <sheetView topLeftCell="A51" workbookViewId="0">
      <selection activeCell="C63" sqref="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119</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61.03</v>
      </c>
      <c r="D16" s="143">
        <v>0</v>
      </c>
      <c r="E16" s="116">
        <f t="shared" si="1"/>
        <v>122.06</v>
      </c>
      <c r="F16" s="788">
        <f>'1461'!F16:G16</f>
        <v>1</v>
      </c>
      <c r="G16" s="788"/>
      <c r="H16" s="80">
        <f t="shared" si="2"/>
        <v>122.06</v>
      </c>
      <c r="I16" s="101">
        <f t="shared" si="3"/>
        <v>677247.96</v>
      </c>
      <c r="N16" s="747" t="s">
        <v>22</v>
      </c>
      <c r="O16" s="747"/>
      <c r="P16" s="789">
        <f t="shared" si="0"/>
        <v>0</v>
      </c>
      <c r="Q16" s="789"/>
      <c r="R16" s="793">
        <v>1</v>
      </c>
      <c r="S16" s="793"/>
      <c r="T16" s="95">
        <f t="shared" si="4"/>
        <v>0</v>
      </c>
      <c r="U16" s="492">
        <f t="shared" si="5"/>
        <v>0</v>
      </c>
    </row>
    <row r="17" spans="1:21" x14ac:dyDescent="0.25">
      <c r="A17" s="705" t="s">
        <v>23</v>
      </c>
      <c r="B17" s="705"/>
      <c r="C17" s="143">
        <v>8</v>
      </c>
      <c r="D17" s="143">
        <v>0</v>
      </c>
      <c r="E17" s="116">
        <f t="shared" si="1"/>
        <v>16</v>
      </c>
      <c r="F17" s="788">
        <f>'1461'!F17:G17</f>
        <v>1</v>
      </c>
      <c r="G17" s="788"/>
      <c r="H17" s="80">
        <f t="shared" si="2"/>
        <v>16</v>
      </c>
      <c r="I17" s="101">
        <f t="shared" si="3"/>
        <v>88775.74</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210.2</v>
      </c>
      <c r="D18" s="143">
        <v>0</v>
      </c>
      <c r="E18" s="116">
        <f t="shared" si="1"/>
        <v>420.4</v>
      </c>
      <c r="F18" s="788">
        <f>'1461'!F18:G18</f>
        <v>0.97799999999999998</v>
      </c>
      <c r="G18" s="788"/>
      <c r="H18" s="80">
        <f t="shared" si="2"/>
        <v>411.15120000000002</v>
      </c>
      <c r="I18" s="101">
        <f t="shared" si="3"/>
        <v>2281265.85</v>
      </c>
      <c r="N18" s="747" t="s">
        <v>24</v>
      </c>
      <c r="O18" s="747"/>
      <c r="P18" s="789">
        <f t="shared" si="0"/>
        <v>0</v>
      </c>
      <c r="Q18" s="789"/>
      <c r="R18" s="793">
        <v>1</v>
      </c>
      <c r="S18" s="793"/>
      <c r="T18" s="95">
        <f t="shared" si="4"/>
        <v>0</v>
      </c>
      <c r="U18" s="492">
        <f t="shared" si="5"/>
        <v>0</v>
      </c>
    </row>
    <row r="19" spans="1:21" x14ac:dyDescent="0.25">
      <c r="A19" s="705" t="s">
        <v>25</v>
      </c>
      <c r="B19" s="705"/>
      <c r="C19" s="143">
        <v>37.5</v>
      </c>
      <c r="D19" s="143">
        <v>0</v>
      </c>
      <c r="E19" s="116">
        <f t="shared" si="1"/>
        <v>75</v>
      </c>
      <c r="F19" s="788">
        <f>'1461'!F19:G19</f>
        <v>0.97799999999999998</v>
      </c>
      <c r="G19" s="788"/>
      <c r="H19" s="80">
        <f t="shared" si="2"/>
        <v>73.349999999999994</v>
      </c>
      <c r="I19" s="101">
        <f t="shared" si="3"/>
        <v>406981.3</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4.79</v>
      </c>
      <c r="D27" s="143">
        <v>0</v>
      </c>
      <c r="E27" s="116">
        <f t="shared" si="1"/>
        <v>9.58</v>
      </c>
      <c r="F27" s="788">
        <f>'1461'!F27:G27</f>
        <v>1.1919999999999999</v>
      </c>
      <c r="G27" s="788"/>
      <c r="H27" s="80">
        <f t="shared" si="2"/>
        <v>11.4194</v>
      </c>
      <c r="I27" s="101">
        <f t="shared" si="3"/>
        <v>63360.36</v>
      </c>
      <c r="N27" s="747" t="s">
        <v>86</v>
      </c>
      <c r="O27" s="747"/>
      <c r="P27" s="789">
        <f t="shared" si="0"/>
        <v>0</v>
      </c>
      <c r="Q27" s="789"/>
      <c r="R27" s="793">
        <v>1</v>
      </c>
      <c r="S27" s="793"/>
      <c r="T27" s="95">
        <f t="shared" si="4"/>
        <v>0</v>
      </c>
      <c r="U27" s="492">
        <f t="shared" si="5"/>
        <v>0</v>
      </c>
    </row>
    <row r="28" spans="1:21" x14ac:dyDescent="0.25">
      <c r="A28" s="705" t="s">
        <v>87</v>
      </c>
      <c r="B28" s="705"/>
      <c r="C28" s="143">
        <v>9.27</v>
      </c>
      <c r="D28" s="143">
        <v>0</v>
      </c>
      <c r="E28" s="116">
        <f t="shared" si="1"/>
        <v>18.54</v>
      </c>
      <c r="F28" s="788">
        <f>'1461'!F28:G28</f>
        <v>1.1919999999999999</v>
      </c>
      <c r="G28" s="788"/>
      <c r="H28" s="80">
        <f t="shared" si="2"/>
        <v>22.099699999999999</v>
      </c>
      <c r="I28" s="101">
        <f t="shared" si="3"/>
        <v>122619.83</v>
      </c>
      <c r="N28" s="747" t="s">
        <v>87</v>
      </c>
      <c r="O28" s="747"/>
      <c r="P28" s="789">
        <f t="shared" si="0"/>
        <v>0</v>
      </c>
      <c r="Q28" s="789"/>
      <c r="R28" s="793">
        <v>1</v>
      </c>
      <c r="S28" s="793"/>
      <c r="T28" s="95">
        <f t="shared" si="4"/>
        <v>0</v>
      </c>
      <c r="U28" s="492">
        <f t="shared" si="5"/>
        <v>0</v>
      </c>
    </row>
    <row r="29" spans="1:21" x14ac:dyDescent="0.25">
      <c r="A29" s="705" t="s">
        <v>88</v>
      </c>
      <c r="B29" s="705"/>
      <c r="C29" s="110">
        <v>22.65</v>
      </c>
      <c r="D29" s="110">
        <v>0</v>
      </c>
      <c r="E29" s="116">
        <f t="shared" si="1"/>
        <v>45.3</v>
      </c>
      <c r="F29" s="788">
        <f>'1461'!F29:G29</f>
        <v>1.079</v>
      </c>
      <c r="G29" s="788"/>
      <c r="H29" s="93">
        <f t="shared" si="2"/>
        <v>48.878700000000002</v>
      </c>
      <c r="I29" s="94">
        <f t="shared" si="3"/>
        <v>271202.68</v>
      </c>
      <c r="N29" s="748" t="s">
        <v>88</v>
      </c>
      <c r="O29" s="748"/>
      <c r="P29" s="789">
        <f t="shared" si="0"/>
        <v>0</v>
      </c>
      <c r="Q29" s="789"/>
      <c r="R29" s="790">
        <v>1</v>
      </c>
      <c r="S29" s="790"/>
      <c r="T29" s="95">
        <f t="shared" si="4"/>
        <v>0</v>
      </c>
      <c r="U29" s="492">
        <f t="shared" si="5"/>
        <v>0</v>
      </c>
    </row>
    <row r="30" spans="1:21" x14ac:dyDescent="0.25">
      <c r="A30" s="708" t="s">
        <v>5</v>
      </c>
      <c r="B30" s="708"/>
      <c r="C30" s="94">
        <f>SUM(C14:C29)</f>
        <v>353.44</v>
      </c>
      <c r="D30" s="94">
        <f>SUM(D14:D29)</f>
        <v>0</v>
      </c>
      <c r="E30" s="97">
        <f>SUM(E14:E29)</f>
        <v>706.88</v>
      </c>
      <c r="F30" s="724"/>
      <c r="G30" s="724"/>
      <c r="H30" s="99">
        <f>SUM(H14:H29)</f>
        <v>704.95899999999995</v>
      </c>
      <c r="I30" s="94">
        <f>SUM(I14:I29)</f>
        <v>3911453.7199999997</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3716552.68</v>
      </c>
      <c r="G51" s="109" t="s">
        <v>6</v>
      </c>
      <c r="H51" s="420">
        <v>5.5899999999999998E-2</v>
      </c>
      <c r="I51" s="101">
        <f>ROUND(F51*H51,2)</f>
        <v>207755.29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3716552.68</v>
      </c>
      <c r="G52" s="109" t="s">
        <v>6</v>
      </c>
      <c r="H52" s="420">
        <v>1.0699999999999999E-2</v>
      </c>
      <c r="I52" s="101">
        <f>ROUND(F52*H52,2)</f>
        <v>39767.11</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247522.40000000002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8</v>
      </c>
      <c r="D60" s="143">
        <v>0</v>
      </c>
      <c r="E60" s="116">
        <f t="shared" si="10"/>
        <v>16</v>
      </c>
      <c r="F60" s="463" t="s">
        <v>13</v>
      </c>
      <c r="G60" s="462">
        <v>251</v>
      </c>
      <c r="H60" s="476">
        <f>'1461'!H60</f>
        <v>1173</v>
      </c>
      <c r="I60" s="101">
        <f t="shared" si="11"/>
        <v>18768</v>
      </c>
      <c r="N60" s="779"/>
      <c r="O60" s="779"/>
      <c r="P60" s="773"/>
      <c r="Q60" s="773"/>
      <c r="R60" s="40" t="s">
        <v>13</v>
      </c>
      <c r="S60" s="468">
        <v>251</v>
      </c>
      <c r="T60" s="479">
        <f t="shared" si="12"/>
        <v>1173</v>
      </c>
      <c r="U60" s="493">
        <f t="shared" si="13"/>
        <v>0</v>
      </c>
      <c r="V60" s="443"/>
    </row>
    <row r="61" spans="1:22" x14ac:dyDescent="0.25">
      <c r="A61" s="721"/>
      <c r="B61" s="721"/>
      <c r="C61" s="143"/>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34.82</v>
      </c>
      <c r="D63" s="143">
        <v>0</v>
      </c>
      <c r="E63" s="116">
        <f t="shared" si="10"/>
        <v>69.64</v>
      </c>
      <c r="F63" s="463" t="s">
        <v>14</v>
      </c>
      <c r="G63" s="462">
        <v>251</v>
      </c>
      <c r="H63" s="476">
        <f>'1461'!H63</f>
        <v>835</v>
      </c>
      <c r="I63" s="101">
        <f t="shared" si="11"/>
        <v>58149.4</v>
      </c>
      <c r="N63" s="779"/>
      <c r="O63" s="779"/>
      <c r="P63" s="773"/>
      <c r="Q63" s="773"/>
      <c r="R63" s="40" t="s">
        <v>14</v>
      </c>
      <c r="S63" s="468">
        <v>251</v>
      </c>
      <c r="T63" s="479">
        <f t="shared" si="12"/>
        <v>835</v>
      </c>
      <c r="U63" s="493">
        <f t="shared" si="13"/>
        <v>0</v>
      </c>
      <c r="V63" s="443"/>
    </row>
    <row r="64" spans="1:22" x14ac:dyDescent="0.25">
      <c r="A64" s="721"/>
      <c r="B64" s="721"/>
      <c r="C64" s="143">
        <v>2.68</v>
      </c>
      <c r="D64" s="143">
        <v>0</v>
      </c>
      <c r="E64" s="116">
        <f t="shared" si="10"/>
        <v>5.36</v>
      </c>
      <c r="F64" s="463" t="s">
        <v>14</v>
      </c>
      <c r="G64" s="462">
        <v>252</v>
      </c>
      <c r="H64" s="476">
        <f>'1461'!H64</f>
        <v>3168</v>
      </c>
      <c r="I64" s="101">
        <f t="shared" si="11"/>
        <v>16980.48</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45.5</v>
      </c>
      <c r="D66" s="97">
        <f>SUM(D57:D65)</f>
        <v>0</v>
      </c>
      <c r="E66" s="97">
        <f>SUM(E57:E65)</f>
        <v>91</v>
      </c>
      <c r="F66" s="708" t="s">
        <v>464</v>
      </c>
      <c r="G66" s="708"/>
      <c r="H66" s="708"/>
      <c r="I66" s="97">
        <f>SUM(I57:I65)</f>
        <v>93897.87999999999</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706.88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3.362E-3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704.95899999999995</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3.0010000000000002E-3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706.88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3.7669999999999999E-3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706.88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3.3679999999999999E-3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706.88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3.7729999999999999E-3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3.3679999999999999E-3</v>
      </c>
      <c r="I85" s="101">
        <f>ROUND(F85*H85,2)</f>
        <v>155479.35999999999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3.362E-3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3.7729999999999999E-3</v>
      </c>
      <c r="I90" s="101">
        <f>ROUND(F90*H90,2)</f>
        <v>71845.56</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3.7669999999999999E-3</v>
      </c>
      <c r="I92" s="101">
        <f t="shared" ref="I92:I96" si="14">ROUND(F92*H92,2)</f>
        <v>43098.82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3.0010000000000002E-3</v>
      </c>
      <c r="I94" s="101">
        <f t="shared" si="14"/>
        <v>767526.2</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3.0010000000000002E-3</v>
      </c>
      <c r="I96" s="101">
        <f t="shared" si="14"/>
        <v>-4758.26</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3.362E-3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440</v>
      </c>
      <c r="N101" s="426" t="s">
        <v>440</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149.4794</v>
      </c>
      <c r="D105" s="703"/>
      <c r="E105" s="46">
        <f>H8</f>
        <v>1.0407999999999999</v>
      </c>
      <c r="F105" s="302">
        <f>'1461'!F105</f>
        <v>907.92</v>
      </c>
      <c r="G105" s="39" t="s">
        <v>12</v>
      </c>
      <c r="H105" s="101">
        <f>ROUND(C105*E105*F105,2)</f>
        <v>141252.51999999999</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555.4796</v>
      </c>
      <c r="D106" s="703"/>
      <c r="E106" s="46">
        <f>H8</f>
        <v>1.0407999999999999</v>
      </c>
      <c r="F106" s="302">
        <f>'1461'!F106</f>
        <v>910.12</v>
      </c>
      <c r="G106" s="39" t="s">
        <v>12</v>
      </c>
      <c r="H106" s="94">
        <f>ROUND(C106*E106*F106,2)</f>
        <v>526179.66</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704.95900000000006</v>
      </c>
      <c r="D107" s="716"/>
      <c r="E107" s="123"/>
      <c r="F107" s="123"/>
      <c r="G107" s="123"/>
      <c r="H107" s="124" t="s">
        <v>100</v>
      </c>
      <c r="I107" s="101">
        <f>IF(A1=75,0,H106+H105+H104)</f>
        <v>667432.18000000005</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81" t="s">
        <v>445</v>
      </c>
      <c r="C110" s="43"/>
      <c r="D110" s="69"/>
      <c r="E110" s="43" t="s">
        <v>32</v>
      </c>
      <c r="F110" s="742"/>
      <c r="G110" s="742"/>
      <c r="H110" s="742"/>
      <c r="I110" s="742"/>
      <c r="N110" s="746" t="s">
        <v>445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384</v>
      </c>
      <c r="D113" s="143">
        <v>281</v>
      </c>
      <c r="E113" s="116">
        <f>(C113+D113)/2</f>
        <v>332.5</v>
      </c>
      <c r="F113" s="126" t="s">
        <v>30</v>
      </c>
      <c r="G113" s="303">
        <f>'1461'!G113</f>
        <v>567</v>
      </c>
      <c r="I113" s="101">
        <f>ROUND(G113*E113,2)</f>
        <v>188527.5</v>
      </c>
      <c r="N113" s="755" t="s">
        <v>52</v>
      </c>
      <c r="O113" s="755"/>
      <c r="P113" s="754">
        <f>IF(H133=1,E113,0)</f>
        <v>0</v>
      </c>
      <c r="Q113" s="754"/>
      <c r="R113" s="754"/>
      <c r="S113" s="83" t="s">
        <v>30</v>
      </c>
      <c r="T113" s="58">
        <f>G113</f>
        <v>567</v>
      </c>
      <c r="U113" s="492">
        <f>ROUND(T113*P113,2)</f>
        <v>0</v>
      </c>
    </row>
    <row r="114" spans="1:21" x14ac:dyDescent="0.25">
      <c r="A114" s="717" t="s">
        <v>400</v>
      </c>
      <c r="B114" s="738"/>
      <c r="C114" s="143">
        <v>1</v>
      </c>
      <c r="D114" s="143">
        <v>0</v>
      </c>
      <c r="E114" s="116">
        <f>(C114+D114)/2</f>
        <v>0.5</v>
      </c>
      <c r="F114" s="126" t="s">
        <v>30</v>
      </c>
      <c r="G114" s="303">
        <f>'1461'!G114</f>
        <v>1821</v>
      </c>
      <c r="I114" s="101">
        <f>ROUND(G114*E114,2)</f>
        <v>910.5</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521</v>
      </c>
      <c r="B126" s="705"/>
      <c r="C126" s="705"/>
      <c r="D126" s="69"/>
      <c r="E126" s="68" t="s">
        <v>34</v>
      </c>
      <c r="F126" s="707"/>
      <c r="G126" s="707"/>
      <c r="H126" s="707"/>
      <c r="I126" s="154">
        <v>0</v>
      </c>
      <c r="N126" s="746" t="s">
        <v>521</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5895413.46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5647891.0599999996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5647891.0599999996</v>
      </c>
      <c r="I135" s="94">
        <f>ROUND(IF(E30=0,0,IF(E30&gt;250,-(((250/E30)*H135)*IF(G135="H",0.02,0.05)),IF(G135="H",-0.02*H135,-0.05*H135))),2)</f>
        <v>-39949.43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5855464.0300000003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-2312051.5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3543412.5300000003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506201.79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73008.39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CCCC"/>
  </sheetPr>
  <dimension ref="A1:V221"/>
  <sheetViews>
    <sheetView topLeftCell="A25" workbookViewId="0">
      <selection activeCell="C29" sqref="C2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120</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8</v>
      </c>
      <c r="D16" s="143">
        <v>0</v>
      </c>
      <c r="E16" s="116">
        <f t="shared" si="1"/>
        <v>16</v>
      </c>
      <c r="F16" s="788">
        <f>'1461'!F16:G16</f>
        <v>1</v>
      </c>
      <c r="G16" s="788"/>
      <c r="H16" s="80">
        <f t="shared" si="2"/>
        <v>16</v>
      </c>
      <c r="I16" s="101">
        <f t="shared" si="3"/>
        <v>88775.74</v>
      </c>
      <c r="N16" s="747" t="s">
        <v>22</v>
      </c>
      <c r="O16" s="747"/>
      <c r="P16" s="789">
        <f t="shared" si="0"/>
        <v>0</v>
      </c>
      <c r="Q16" s="789"/>
      <c r="R16" s="793">
        <v>1</v>
      </c>
      <c r="S16" s="793"/>
      <c r="T16" s="95">
        <f t="shared" si="4"/>
        <v>0</v>
      </c>
      <c r="U16" s="492">
        <f t="shared" si="5"/>
        <v>0</v>
      </c>
    </row>
    <row r="17" spans="1:21" x14ac:dyDescent="0.25">
      <c r="A17" s="705" t="s">
        <v>23</v>
      </c>
      <c r="B17" s="705"/>
      <c r="C17" s="143">
        <v>1</v>
      </c>
      <c r="D17" s="143">
        <v>0</v>
      </c>
      <c r="E17" s="116">
        <f t="shared" si="1"/>
        <v>2</v>
      </c>
      <c r="F17" s="788">
        <f>'1461'!F17:G17</f>
        <v>1</v>
      </c>
      <c r="G17" s="788"/>
      <c r="H17" s="80">
        <f t="shared" si="2"/>
        <v>2</v>
      </c>
      <c r="I17" s="101">
        <f t="shared" si="3"/>
        <v>11096.97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36.11</v>
      </c>
      <c r="D18" s="143">
        <v>0</v>
      </c>
      <c r="E18" s="116">
        <f t="shared" si="1"/>
        <v>72.22</v>
      </c>
      <c r="F18" s="788">
        <f>'1461'!F18:G18</f>
        <v>0.97799999999999998</v>
      </c>
      <c r="G18" s="788"/>
      <c r="H18" s="80">
        <f t="shared" si="2"/>
        <v>70.631200000000007</v>
      </c>
      <c r="I18" s="101">
        <f t="shared" si="3"/>
        <v>391896.08</v>
      </c>
      <c r="N18" s="747" t="s">
        <v>24</v>
      </c>
      <c r="O18" s="747"/>
      <c r="P18" s="789">
        <f t="shared" si="0"/>
        <v>0</v>
      </c>
      <c r="Q18" s="789"/>
      <c r="R18" s="793">
        <v>1</v>
      </c>
      <c r="S18" s="793"/>
      <c r="T18" s="95">
        <f t="shared" si="4"/>
        <v>0</v>
      </c>
      <c r="U18" s="492">
        <f t="shared" si="5"/>
        <v>0</v>
      </c>
    </row>
    <row r="19" spans="1:21" x14ac:dyDescent="0.25">
      <c r="A19" s="705" t="s">
        <v>25</v>
      </c>
      <c r="B19" s="705"/>
      <c r="C19" s="143">
        <v>9.68</v>
      </c>
      <c r="D19" s="143">
        <v>0</v>
      </c>
      <c r="E19" s="116">
        <f t="shared" si="1"/>
        <v>19.36</v>
      </c>
      <c r="F19" s="788">
        <f>'1461'!F19:G19</f>
        <v>0.97799999999999998</v>
      </c>
      <c r="G19" s="788"/>
      <c r="H19" s="80">
        <f t="shared" si="2"/>
        <v>18.934100000000001</v>
      </c>
      <c r="I19" s="101">
        <f t="shared" si="3"/>
        <v>105055.55</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0.83</v>
      </c>
      <c r="D28" s="143">
        <v>0</v>
      </c>
      <c r="E28" s="116">
        <f t="shared" si="1"/>
        <v>1.66</v>
      </c>
      <c r="F28" s="788">
        <f>'1461'!F28:G28</f>
        <v>1.1919999999999999</v>
      </c>
      <c r="G28" s="788"/>
      <c r="H28" s="80">
        <f t="shared" si="2"/>
        <v>1.9786999999999999</v>
      </c>
      <c r="I28" s="101">
        <f t="shared" si="3"/>
        <v>10978.79</v>
      </c>
      <c r="N28" s="747" t="s">
        <v>87</v>
      </c>
      <c r="O28" s="747"/>
      <c r="P28" s="789">
        <f t="shared" si="0"/>
        <v>0</v>
      </c>
      <c r="Q28" s="789"/>
      <c r="R28" s="793">
        <v>1</v>
      </c>
      <c r="S28" s="793"/>
      <c r="T28" s="95">
        <f t="shared" si="4"/>
        <v>0</v>
      </c>
      <c r="U28" s="492">
        <f t="shared" si="5"/>
        <v>0</v>
      </c>
    </row>
    <row r="29" spans="1:21" x14ac:dyDescent="0.25">
      <c r="A29" s="705" t="s">
        <v>88</v>
      </c>
      <c r="B29" s="705"/>
      <c r="C29" s="110">
        <v>0.97</v>
      </c>
      <c r="D29" s="110">
        <v>0</v>
      </c>
      <c r="E29" s="116">
        <f t="shared" si="1"/>
        <v>1.94</v>
      </c>
      <c r="F29" s="788">
        <f>'1461'!F29:G29</f>
        <v>1.079</v>
      </c>
      <c r="G29" s="788"/>
      <c r="H29" s="93">
        <f t="shared" si="2"/>
        <v>2.0933000000000002</v>
      </c>
      <c r="I29" s="94">
        <f t="shared" si="3"/>
        <v>11614.64</v>
      </c>
      <c r="N29" s="748" t="s">
        <v>88</v>
      </c>
      <c r="O29" s="748"/>
      <c r="P29" s="789">
        <f t="shared" si="0"/>
        <v>0</v>
      </c>
      <c r="Q29" s="789"/>
      <c r="R29" s="790">
        <v>1</v>
      </c>
      <c r="S29" s="790"/>
      <c r="T29" s="95">
        <f t="shared" si="4"/>
        <v>0</v>
      </c>
      <c r="U29" s="492">
        <f t="shared" si="5"/>
        <v>0</v>
      </c>
    </row>
    <row r="30" spans="1:21" x14ac:dyDescent="0.25">
      <c r="A30" s="708" t="s">
        <v>5</v>
      </c>
      <c r="B30" s="708"/>
      <c r="C30" s="94">
        <f>SUM(C14:C29)</f>
        <v>56.589999999999996</v>
      </c>
      <c r="D30" s="94">
        <f>SUM(D14:D29)</f>
        <v>0</v>
      </c>
      <c r="E30" s="97">
        <f>SUM(E14:E29)</f>
        <v>113.17999999999999</v>
      </c>
      <c r="F30" s="724"/>
      <c r="G30" s="724"/>
      <c r="H30" s="99">
        <f>SUM(H14:H29)</f>
        <v>111.63730000000001</v>
      </c>
      <c r="I30" s="94">
        <f>SUM(I14:I29)</f>
        <v>619417.77000000014</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669861.27</v>
      </c>
      <c r="G51" s="109" t="s">
        <v>6</v>
      </c>
      <c r="H51" s="420">
        <v>5.5899999999999998E-2</v>
      </c>
      <c r="I51" s="101">
        <f>ROUND(F51*H51,2)</f>
        <v>37445.24</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669861.27</v>
      </c>
      <c r="G52" s="109" t="s">
        <v>6</v>
      </c>
      <c r="H52" s="420">
        <v>1.0699999999999999E-2</v>
      </c>
      <c r="I52" s="101">
        <f>ROUND(F52*H52,2)</f>
        <v>7167.52</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44612.759999999995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v>
      </c>
      <c r="D60" s="143">
        <v>0</v>
      </c>
      <c r="E60" s="116">
        <f t="shared" si="10"/>
        <v>2</v>
      </c>
      <c r="F60" s="463" t="s">
        <v>13</v>
      </c>
      <c r="G60" s="462">
        <v>251</v>
      </c>
      <c r="H60" s="476">
        <f>'1461'!H60</f>
        <v>1173</v>
      </c>
      <c r="I60" s="101">
        <f t="shared" si="11"/>
        <v>2346</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9.68</v>
      </c>
      <c r="D63" s="143">
        <v>0</v>
      </c>
      <c r="E63" s="116">
        <f t="shared" si="10"/>
        <v>19.36</v>
      </c>
      <c r="F63" s="463" t="s">
        <v>14</v>
      </c>
      <c r="G63" s="462">
        <v>251</v>
      </c>
      <c r="H63" s="476">
        <f>'1461'!H63</f>
        <v>835</v>
      </c>
      <c r="I63" s="101">
        <f t="shared" si="11"/>
        <v>16165.6</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10.68</v>
      </c>
      <c r="D66" s="97">
        <f>SUM(D57:D65)</f>
        <v>0</v>
      </c>
      <c r="E66" s="97">
        <f>SUM(E57:E65)</f>
        <v>21.36</v>
      </c>
      <c r="F66" s="708" t="s">
        <v>464</v>
      </c>
      <c r="G66" s="708"/>
      <c r="H66" s="708"/>
      <c r="I66" s="97">
        <f>SUM(I57:I65)</f>
        <v>18511.599999999999</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113.17999999999999</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5.3799999999999996E-4</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111.63730000000001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4.75E-4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113.17999999999999</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6.0300000000000002E-4</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113.17999999999999</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5.3899999999999998E-4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113.17999999999999</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6.0400000000000004E-4</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5.3899999999999998E-4</v>
      </c>
      <c r="I85" s="101">
        <f>ROUND(F85*H85,2)</f>
        <v>24882.240000000002</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5.3799999999999996E-4</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6.0400000000000004E-4</v>
      </c>
      <c r="I90" s="101">
        <f>ROUND(F90*H90,2)</f>
        <v>11501.38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6.0300000000000002E-4</v>
      </c>
      <c r="I92" s="101">
        <f t="shared" ref="I92:I96" si="14">ROUND(F92*H92,2)</f>
        <v>6899.01</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4.75E-4</v>
      </c>
      <c r="I94" s="101">
        <f t="shared" si="14"/>
        <v>121484.49</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4.75E-4</v>
      </c>
      <c r="I96" s="101">
        <f t="shared" si="14"/>
        <v>-753.14</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5.3799999999999996E-4</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18</v>
      </c>
      <c r="D105" s="703"/>
      <c r="E105" s="46">
        <f>H8</f>
        <v>1.0407999999999999</v>
      </c>
      <c r="F105" s="302">
        <f>'1461'!F105</f>
        <v>907.92</v>
      </c>
      <c r="G105" s="39" t="s">
        <v>12</v>
      </c>
      <c r="H105" s="101">
        <f>ROUND(C105*E105*F105,2)</f>
        <v>17009.34</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93.63730000000001</v>
      </c>
      <c r="D106" s="703"/>
      <c r="E106" s="46">
        <f>H8</f>
        <v>1.0407999999999999</v>
      </c>
      <c r="F106" s="302">
        <f>'1461'!F106</f>
        <v>910.12</v>
      </c>
      <c r="G106" s="39" t="s">
        <v>12</v>
      </c>
      <c r="H106" s="94">
        <f>ROUND(C106*E106*F106,2)</f>
        <v>88698.2</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111.63730000000001</v>
      </c>
      <c r="D107" s="716"/>
      <c r="E107" s="123"/>
      <c r="F107" s="123"/>
      <c r="G107" s="123"/>
      <c r="H107" s="124" t="s">
        <v>100</v>
      </c>
      <c r="I107" s="101">
        <f>IF(A1=75,0,H106+H105+H104)</f>
        <v>105707.54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103</v>
      </c>
      <c r="D113" s="143">
        <v>96</v>
      </c>
      <c r="E113" s="116">
        <f>(C113+D113)/2</f>
        <v>99.5</v>
      </c>
      <c r="F113" s="126" t="s">
        <v>30</v>
      </c>
      <c r="G113" s="303">
        <f>'1461'!G113</f>
        <v>567</v>
      </c>
      <c r="I113" s="101">
        <f>ROUND(G113*E113,2)</f>
        <v>56416.5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964067.39000000013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919454.63000000012</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919454.63000000012</v>
      </c>
      <c r="I135" s="94">
        <f>ROUND(IF(E30=0,0,IF(E30&gt;250,-(((250/E30)*H135)*IF(G135="H",0.02,0.05)),IF(G135="H",-0.02*H135,-0.05*H135))),2)</f>
        <v>-45972.73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918094.66000000015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-413137.59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504957.07000000012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72136.72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CCCC"/>
  </sheetPr>
  <dimension ref="A1:V221"/>
  <sheetViews>
    <sheetView topLeftCell="A27" workbookViewId="0">
      <selection activeCell="E66" sqref="E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112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2.5</v>
      </c>
      <c r="D17" s="143">
        <v>0</v>
      </c>
      <c r="E17" s="116">
        <f t="shared" si="1"/>
        <v>5</v>
      </c>
      <c r="F17" s="788">
        <f>'1461'!F17:G17</f>
        <v>1</v>
      </c>
      <c r="G17" s="788"/>
      <c r="H17" s="80">
        <f t="shared" si="2"/>
        <v>5</v>
      </c>
      <c r="I17" s="101">
        <f t="shared" si="3"/>
        <v>27742.42</v>
      </c>
      <c r="J17" s="65" t="str">
        <f>IF(ROUND(E17,2)=ROUND(SUM(E60:E62),2)," ","CHECK 4-8 LINES BELOW")</f>
        <v xml:space="preserve"> </v>
      </c>
      <c r="N17" s="747" t="s">
        <v>23</v>
      </c>
      <c r="O17" s="747"/>
      <c r="P17" s="789">
        <f t="shared" si="0"/>
        <v>5</v>
      </c>
      <c r="Q17" s="789"/>
      <c r="R17" s="793">
        <v>1</v>
      </c>
      <c r="S17" s="793"/>
      <c r="T17" s="95">
        <f t="shared" si="4"/>
        <v>5</v>
      </c>
      <c r="U17" s="492">
        <f t="shared" si="5"/>
        <v>27742.42</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45.43</v>
      </c>
      <c r="D19" s="143">
        <v>0</v>
      </c>
      <c r="E19" s="116">
        <f t="shared" si="1"/>
        <v>90.86</v>
      </c>
      <c r="F19" s="788">
        <f>'1461'!F19:G19</f>
        <v>0.97799999999999998</v>
      </c>
      <c r="G19" s="788"/>
      <c r="H19" s="80">
        <f t="shared" si="2"/>
        <v>88.861099999999993</v>
      </c>
      <c r="I19" s="101">
        <f>ROUND(ROUND(ROUND(H19*$C$8,4)*($H$8),2)*(MAX($H$9,1)),2)</f>
        <v>493044.39</v>
      </c>
      <c r="J19" s="65" t="str">
        <f>IF(ROUND(E19,2)=ROUND(SUM(E63:E65),2)," ","CHECK 4-8 LINES BELOW")</f>
        <v xml:space="preserve"> </v>
      </c>
      <c r="N19" s="747" t="s">
        <v>25</v>
      </c>
      <c r="O19" s="747"/>
      <c r="P19" s="789">
        <f t="shared" si="0"/>
        <v>90.86</v>
      </c>
      <c r="Q19" s="789"/>
      <c r="R19" s="793">
        <v>1</v>
      </c>
      <c r="S19" s="793"/>
      <c r="T19" s="95">
        <f t="shared" si="4"/>
        <v>90.86</v>
      </c>
      <c r="U19" s="491">
        <f t="shared" si="5"/>
        <v>504135.25</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47.93</v>
      </c>
      <c r="D30" s="94">
        <f>SUM(D14:D29)</f>
        <v>0</v>
      </c>
      <c r="E30" s="94">
        <f>SUM(E14:E29)</f>
        <v>95.86</v>
      </c>
      <c r="F30" s="724"/>
      <c r="G30" s="724"/>
      <c r="H30" s="99">
        <f>SUM(H14:H29)</f>
        <v>93.861099999999993</v>
      </c>
      <c r="I30" s="94">
        <f>SUM(I14:I29)</f>
        <v>520786.81</v>
      </c>
      <c r="N30" s="791" t="s">
        <v>5</v>
      </c>
      <c r="O30" s="791"/>
      <c r="P30" s="792">
        <f>SUM(P14:P29)</f>
        <v>95.86</v>
      </c>
      <c r="Q30" s="792"/>
      <c r="R30" s="781"/>
      <c r="S30" s="781"/>
      <c r="T30" s="100">
        <f>SUM(T14:T29)</f>
        <v>95.86</v>
      </c>
      <c r="U30" s="492">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76" t="s">
        <v>44</v>
      </c>
      <c r="O46" s="776"/>
      <c r="P46" s="776"/>
      <c r="Q46" s="776"/>
      <c r="R46" s="35">
        <f>R44+T30</f>
        <v>95.86</v>
      </c>
      <c r="S46" s="781" t="s">
        <v>42</v>
      </c>
      <c r="T46" s="781"/>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508726.63</v>
      </c>
      <c r="G51" s="109" t="s">
        <v>6</v>
      </c>
      <c r="H51" s="420">
        <v>5.5899999999999998E-2</v>
      </c>
      <c r="I51" s="101">
        <f>ROUND(F51*H51,2)</f>
        <v>28437.82</v>
      </c>
      <c r="N51" s="425"/>
      <c r="O51" s="426" t="s">
        <v>527</v>
      </c>
      <c r="P51" s="28"/>
      <c r="Q51" s="44" t="s">
        <v>417</v>
      </c>
      <c r="R51" s="427">
        <f>U30</f>
        <v>531877.67000000004</v>
      </c>
      <c r="S51" s="428" t="s">
        <v>6</v>
      </c>
      <c r="T51" s="429">
        <v>5.5899999999999998E-2</v>
      </c>
      <c r="U51" s="421">
        <f>ROUND(R51*T51,2)</f>
        <v>29731.96</v>
      </c>
    </row>
    <row r="52" spans="1:22" x14ac:dyDescent="0.25">
      <c r="A52" s="26"/>
      <c r="B52" s="578" t="s">
        <v>532</v>
      </c>
      <c r="C52" s="26"/>
      <c r="D52" s="26"/>
      <c r="E52" s="43" t="s">
        <v>417</v>
      </c>
      <c r="F52" s="419">
        <v>508726.63</v>
      </c>
      <c r="G52" s="109" t="s">
        <v>6</v>
      </c>
      <c r="H52" s="420">
        <v>1.0699999999999999E-2</v>
      </c>
      <c r="I52" s="101">
        <f>ROUND(F52*H52,2)</f>
        <v>5443.37</v>
      </c>
      <c r="N52" s="28"/>
      <c r="O52" s="579" t="s">
        <v>531</v>
      </c>
      <c r="P52" s="28"/>
      <c r="Q52" s="44" t="s">
        <v>417</v>
      </c>
      <c r="R52" s="427">
        <f>U30</f>
        <v>531877.67000000004</v>
      </c>
      <c r="S52" s="428" t="s">
        <v>6</v>
      </c>
      <c r="T52" s="429">
        <v>1.0699999999999999E-2</v>
      </c>
      <c r="U52" s="430">
        <f>ROUND(R52*T52,2)</f>
        <v>5691.09</v>
      </c>
    </row>
    <row r="53" spans="1:22" x14ac:dyDescent="0.25">
      <c r="A53" s="26"/>
      <c r="B53" s="81" t="s">
        <v>418</v>
      </c>
      <c r="C53" s="26"/>
      <c r="D53" s="26"/>
      <c r="E53" s="43"/>
      <c r="F53" s="419"/>
      <c r="G53" s="109"/>
      <c r="H53" s="420"/>
      <c r="I53" s="97">
        <f>SUM(I51:I52)</f>
        <v>33881.19</v>
      </c>
      <c r="N53" s="28"/>
      <c r="O53" s="402" t="s">
        <v>418</v>
      </c>
      <c r="P53" s="28"/>
      <c r="Q53" s="44"/>
      <c r="R53" s="427"/>
      <c r="S53" s="428"/>
      <c r="T53" s="429"/>
      <c r="U53" s="421">
        <f>SUM(U51:U52)</f>
        <v>35423.050000000003</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2.5</v>
      </c>
      <c r="D60" s="143">
        <v>0</v>
      </c>
      <c r="E60" s="116">
        <f t="shared" si="10"/>
        <v>5</v>
      </c>
      <c r="F60" s="463" t="s">
        <v>13</v>
      </c>
      <c r="G60" s="462">
        <v>251</v>
      </c>
      <c r="H60" s="476">
        <f>'1461'!H60</f>
        <v>1173</v>
      </c>
      <c r="I60" s="101">
        <f t="shared" si="11"/>
        <v>5865</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0.63</v>
      </c>
      <c r="D63" s="143">
        <v>0</v>
      </c>
      <c r="E63" s="116">
        <f t="shared" si="10"/>
        <v>1.26</v>
      </c>
      <c r="F63" s="463" t="s">
        <v>14</v>
      </c>
      <c r="G63" s="462">
        <v>251</v>
      </c>
      <c r="H63" s="476">
        <f>'1461'!H63</f>
        <v>835</v>
      </c>
      <c r="I63" s="101">
        <f t="shared" si="11"/>
        <v>1052.0999999999999</v>
      </c>
      <c r="N63" s="779"/>
      <c r="O63" s="779"/>
      <c r="P63" s="773"/>
      <c r="Q63" s="773"/>
      <c r="R63" s="40" t="s">
        <v>14</v>
      </c>
      <c r="S63" s="468">
        <v>251</v>
      </c>
      <c r="T63" s="479">
        <f t="shared" si="12"/>
        <v>835</v>
      </c>
      <c r="U63" s="493">
        <f t="shared" si="13"/>
        <v>0</v>
      </c>
      <c r="V63" s="443"/>
    </row>
    <row r="64" spans="1:22" x14ac:dyDescent="0.25">
      <c r="A64" s="721"/>
      <c r="B64" s="721"/>
      <c r="C64" s="143">
        <v>31.27</v>
      </c>
      <c r="D64" s="143">
        <v>0</v>
      </c>
      <c r="E64" s="116">
        <f t="shared" si="10"/>
        <v>62.54</v>
      </c>
      <c r="F64" s="463" t="s">
        <v>14</v>
      </c>
      <c r="G64" s="462">
        <v>252</v>
      </c>
      <c r="H64" s="476">
        <f>'1461'!H64</f>
        <v>3168</v>
      </c>
      <c r="I64" s="101">
        <f t="shared" si="11"/>
        <v>198126.72</v>
      </c>
      <c r="N64" s="779"/>
      <c r="O64" s="779"/>
      <c r="P64" s="773"/>
      <c r="Q64" s="773"/>
      <c r="R64" s="40" t="s">
        <v>14</v>
      </c>
      <c r="S64" s="468">
        <v>252</v>
      </c>
      <c r="T64" s="479">
        <f t="shared" si="12"/>
        <v>3168</v>
      </c>
      <c r="U64" s="493">
        <f t="shared" si="13"/>
        <v>0</v>
      </c>
      <c r="V64" s="443"/>
    </row>
    <row r="65" spans="1:22" ht="16.5" thickBot="1" x14ac:dyDescent="0.3">
      <c r="A65" s="721"/>
      <c r="B65" s="721"/>
      <c r="C65" s="143">
        <v>13.53</v>
      </c>
      <c r="D65" s="143">
        <v>0</v>
      </c>
      <c r="E65" s="116">
        <f t="shared" si="10"/>
        <v>27.06</v>
      </c>
      <c r="F65" s="463" t="s">
        <v>14</v>
      </c>
      <c r="G65" s="462">
        <v>253</v>
      </c>
      <c r="H65" s="476">
        <f>'1461'!H65</f>
        <v>6685</v>
      </c>
      <c r="I65" s="101">
        <f t="shared" si="11"/>
        <v>180896.1</v>
      </c>
      <c r="N65" s="779"/>
      <c r="O65" s="779"/>
      <c r="P65" s="774"/>
      <c r="Q65" s="774"/>
      <c r="R65" s="40" t="s">
        <v>14</v>
      </c>
      <c r="S65" s="468">
        <v>253</v>
      </c>
      <c r="T65" s="479">
        <f t="shared" si="12"/>
        <v>6685</v>
      </c>
      <c r="U65" s="494">
        <f t="shared" si="13"/>
        <v>0</v>
      </c>
      <c r="V65" s="443"/>
    </row>
    <row r="66" spans="1:22" ht="16.5" thickBot="1" x14ac:dyDescent="0.3">
      <c r="A66" s="459"/>
      <c r="C66" s="97">
        <f>SUM(C57:C65)</f>
        <v>47.93</v>
      </c>
      <c r="D66" s="97">
        <f>SUM(D57:D65)</f>
        <v>0</v>
      </c>
      <c r="E66" s="97">
        <f>SUM(E57:E65)</f>
        <v>95.86</v>
      </c>
      <c r="F66" s="708" t="s">
        <v>464</v>
      </c>
      <c r="G66" s="708"/>
      <c r="H66" s="708"/>
      <c r="I66" s="97">
        <f>SUM(I57:I65)</f>
        <v>385939.92000000004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95.86</v>
      </c>
      <c r="D69" s="718" t="s">
        <v>430</v>
      </c>
      <c r="E69" s="718"/>
      <c r="F69" s="718"/>
      <c r="G69" s="718"/>
      <c r="H69" s="299">
        <f>'1461'!H69</f>
        <v>210228.91</v>
      </c>
      <c r="I69" s="113"/>
      <c r="N69" s="746" t="s">
        <v>423</v>
      </c>
      <c r="O69" s="747"/>
      <c r="P69" s="41">
        <f>P30</f>
        <v>95.86</v>
      </c>
      <c r="Q69" s="771" t="s">
        <v>425</v>
      </c>
      <c r="R69" s="772"/>
      <c r="S69" s="772"/>
      <c r="T69" s="760">
        <f>H69</f>
        <v>210228.91</v>
      </c>
      <c r="U69" s="760"/>
    </row>
    <row r="70" spans="1:22" x14ac:dyDescent="0.25">
      <c r="B70" s="69"/>
      <c r="G70" s="42" t="s">
        <v>12</v>
      </c>
      <c r="H70" s="114">
        <f>ROUND(C69/H69,6)</f>
        <v>4.5600000000000003E-4</v>
      </c>
      <c r="I70" s="115"/>
      <c r="N70" s="747"/>
      <c r="O70" s="747"/>
      <c r="P70" s="747"/>
      <c r="Q70" s="747"/>
      <c r="R70" s="747"/>
      <c r="S70" s="747"/>
      <c r="T70" s="765">
        <f>ROUND(P69/T69,6)</f>
        <v>4.5600000000000003E-4</v>
      </c>
      <c r="U70" s="765"/>
    </row>
    <row r="71" spans="1:22" x14ac:dyDescent="0.25">
      <c r="A71" s="461" t="s">
        <v>467</v>
      </c>
      <c r="N71" s="472" t="s">
        <v>475</v>
      </c>
      <c r="O71" s="51"/>
      <c r="P71" s="51"/>
      <c r="Q71" s="51"/>
      <c r="R71" s="51"/>
      <c r="S71" s="51"/>
      <c r="T71" s="51"/>
      <c r="U71" s="51"/>
    </row>
    <row r="72" spans="1:22" x14ac:dyDescent="0.25">
      <c r="A72" s="704" t="s">
        <v>420</v>
      </c>
      <c r="B72" s="705"/>
      <c r="C72" s="112">
        <f>H30</f>
        <v>93.861099999999993</v>
      </c>
      <c r="D72" s="718" t="s">
        <v>431</v>
      </c>
      <c r="E72" s="718"/>
      <c r="F72" s="718"/>
      <c r="G72" s="718"/>
      <c r="H72" s="300">
        <f>'1461'!H72</f>
        <v>234891.44</v>
      </c>
      <c r="I72" s="116"/>
      <c r="N72" s="746" t="s">
        <v>424</v>
      </c>
      <c r="O72" s="747"/>
      <c r="P72" s="41">
        <f>T30</f>
        <v>95.86</v>
      </c>
      <c r="Q72" s="771" t="s">
        <v>426</v>
      </c>
      <c r="R72" s="772"/>
      <c r="S72" s="772"/>
      <c r="T72" s="760">
        <f>H72</f>
        <v>234891.44</v>
      </c>
      <c r="U72" s="760"/>
    </row>
    <row r="73" spans="1:22" x14ac:dyDescent="0.25">
      <c r="G73" s="42" t="s">
        <v>12</v>
      </c>
      <c r="H73" s="114">
        <f>ROUND(C72/H72,6)</f>
        <v>4.0000000000000002E-4</v>
      </c>
      <c r="I73" s="114"/>
      <c r="N73" s="747"/>
      <c r="O73" s="747"/>
      <c r="P73" s="747"/>
      <c r="Q73" s="747"/>
      <c r="R73" s="747"/>
      <c r="S73" s="747"/>
      <c r="T73" s="765">
        <f>ROUND(P72/T72,6)</f>
        <v>4.08E-4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95.86</v>
      </c>
      <c r="D75" s="717" t="s">
        <v>432</v>
      </c>
      <c r="E75" s="717"/>
      <c r="F75" s="717"/>
      <c r="G75" s="717"/>
      <c r="H75" s="299">
        <f>'1461'!H75</f>
        <v>187665.41</v>
      </c>
      <c r="I75" s="113"/>
      <c r="N75" s="746" t="s">
        <v>422</v>
      </c>
      <c r="O75" s="747"/>
      <c r="P75" s="41">
        <f>P30</f>
        <v>95.86</v>
      </c>
      <c r="Q75" s="767" t="s">
        <v>427</v>
      </c>
      <c r="R75" s="768"/>
      <c r="S75" s="768"/>
      <c r="T75" s="760">
        <f>H75</f>
        <v>187665.41</v>
      </c>
      <c r="U75" s="760"/>
    </row>
    <row r="76" spans="1:22" x14ac:dyDescent="0.25">
      <c r="B76" s="69"/>
      <c r="G76" s="42" t="s">
        <v>12</v>
      </c>
      <c r="H76" s="114">
        <f>ROUND(C75/H75,6)</f>
        <v>5.1099999999999995E-4</v>
      </c>
      <c r="I76" s="115"/>
      <c r="N76" s="747"/>
      <c r="O76" s="747"/>
      <c r="P76" s="747"/>
      <c r="Q76" s="747"/>
      <c r="R76" s="747"/>
      <c r="S76" s="747"/>
      <c r="T76" s="765">
        <f>ROUND(P75/T75,6)</f>
        <v>5.1099999999999995E-4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95.86</v>
      </c>
      <c r="D78" s="713" t="s">
        <v>433</v>
      </c>
      <c r="E78" s="713"/>
      <c r="F78" s="713"/>
      <c r="G78" s="713"/>
      <c r="H78" s="299">
        <f>'1461'!H78</f>
        <v>209892.26</v>
      </c>
      <c r="I78" s="113"/>
      <c r="N78" s="746" t="s">
        <v>422</v>
      </c>
      <c r="O78" s="747"/>
      <c r="P78" s="41">
        <f>P30</f>
        <v>95.86</v>
      </c>
      <c r="Q78" s="769" t="s">
        <v>428</v>
      </c>
      <c r="R78" s="770"/>
      <c r="S78" s="770"/>
      <c r="T78" s="760">
        <f>H78</f>
        <v>209892.26</v>
      </c>
      <c r="U78" s="760"/>
    </row>
    <row r="79" spans="1:22" x14ac:dyDescent="0.25">
      <c r="B79" s="69"/>
      <c r="G79" s="42" t="s">
        <v>12</v>
      </c>
      <c r="H79" s="114">
        <f>ROUND(C78/H78,6)</f>
        <v>4.57E-4</v>
      </c>
      <c r="I79" s="115"/>
      <c r="N79" s="747"/>
      <c r="O79" s="747"/>
      <c r="P79" s="747"/>
      <c r="Q79" s="747"/>
      <c r="R79" s="747"/>
      <c r="S79" s="747"/>
      <c r="T79" s="765">
        <f>ROUND(P78/T78,6)</f>
        <v>4.57E-4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95.86</v>
      </c>
      <c r="D81" s="717" t="s">
        <v>434</v>
      </c>
      <c r="E81" s="717"/>
      <c r="F81" s="717"/>
      <c r="G81" s="717"/>
      <c r="H81" s="299">
        <f>'1461'!H81</f>
        <v>187328.76</v>
      </c>
      <c r="I81" s="113"/>
      <c r="N81" s="746" t="s">
        <v>435</v>
      </c>
      <c r="O81" s="747"/>
      <c r="P81" s="41">
        <f>P30</f>
        <v>95.86</v>
      </c>
      <c r="Q81" s="767" t="s">
        <v>436</v>
      </c>
      <c r="R81" s="768"/>
      <c r="S81" s="768"/>
      <c r="T81" s="760">
        <f>H81</f>
        <v>187328.76</v>
      </c>
      <c r="U81" s="760"/>
    </row>
    <row r="82" spans="1:21" x14ac:dyDescent="0.25">
      <c r="B82" s="69"/>
      <c r="G82" s="42" t="s">
        <v>12</v>
      </c>
      <c r="H82" s="114">
        <f>ROUND(C81/H81,6)</f>
        <v>5.1199999999999998E-4</v>
      </c>
      <c r="I82" s="115"/>
      <c r="N82" s="747"/>
      <c r="O82" s="747"/>
      <c r="P82" s="747"/>
      <c r="Q82" s="747"/>
      <c r="R82" s="747"/>
      <c r="S82" s="747"/>
      <c r="T82" s="765">
        <f>ROUND(P81/T81,6)</f>
        <v>5.1199999999999998E-4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4.57E-4</v>
      </c>
      <c r="I85" s="101">
        <f>ROUND(F85*H85,2)</f>
        <v>21096.81</v>
      </c>
      <c r="N85" s="472" t="s">
        <v>471</v>
      </c>
      <c r="O85" s="51"/>
      <c r="P85" s="51"/>
      <c r="Q85" s="44"/>
      <c r="R85" s="438">
        <f>F85</f>
        <v>46163704</v>
      </c>
      <c r="S85" s="38" t="s">
        <v>6</v>
      </c>
      <c r="T85" s="440">
        <f>T79</f>
        <v>4.57E-4</v>
      </c>
      <c r="U85" s="492">
        <f>ROUND(R85*T85,2)</f>
        <v>21096.81</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4.5600000000000003E-4</v>
      </c>
      <c r="I88" s="101">
        <f>ROUND(F88*H88,2)</f>
        <v>0</v>
      </c>
      <c r="N88" s="766" t="s">
        <v>99</v>
      </c>
      <c r="O88" s="747"/>
      <c r="P88" s="747"/>
      <c r="Q88" s="44"/>
      <c r="R88" s="438">
        <f>F88</f>
        <v>0</v>
      </c>
      <c r="S88" s="38" t="s">
        <v>6</v>
      </c>
      <c r="T88" s="440">
        <f>T70</f>
        <v>4.5600000000000003E-4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5.1199999999999998E-4</v>
      </c>
      <c r="I90" s="101">
        <f>ROUND(F90*H90,2)</f>
        <v>9749.52</v>
      </c>
      <c r="N90" s="472" t="s">
        <v>472</v>
      </c>
      <c r="O90" s="51"/>
      <c r="P90" s="51"/>
      <c r="Q90" s="44"/>
      <c r="R90" s="438">
        <f>F90</f>
        <v>19042026</v>
      </c>
      <c r="S90" s="38" t="s">
        <v>6</v>
      </c>
      <c r="T90" s="440">
        <f>T82</f>
        <v>5.1199999999999998E-4</v>
      </c>
      <c r="U90" s="492">
        <f>ROUND(R90*T90,2)</f>
        <v>9749.52</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5.1099999999999995E-4</v>
      </c>
      <c r="I92" s="101">
        <f t="shared" ref="I92:I96" si="14">ROUND(F92*H92,2)</f>
        <v>5846.43</v>
      </c>
      <c r="N92" s="472" t="s">
        <v>473</v>
      </c>
      <c r="O92" s="51"/>
      <c r="P92" s="51"/>
      <c r="Q92" s="44"/>
      <c r="R92" s="438">
        <f t="shared" ref="R92:R96" si="15">F92</f>
        <v>11441151</v>
      </c>
      <c r="S92" s="38" t="s">
        <v>6</v>
      </c>
      <c r="T92" s="440">
        <f>T76</f>
        <v>5.1099999999999995E-4</v>
      </c>
      <c r="U92" s="492">
        <f>ROUND(R92*T92,2)</f>
        <v>5846.43</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4.0000000000000002E-4</v>
      </c>
      <c r="I94" s="101">
        <f t="shared" si="14"/>
        <v>102302.73</v>
      </c>
      <c r="N94" s="747" t="s">
        <v>438</v>
      </c>
      <c r="O94" s="747"/>
      <c r="P94" s="747"/>
      <c r="Q94" s="44"/>
      <c r="R94" s="438">
        <f t="shared" si="15"/>
        <v>255756816</v>
      </c>
      <c r="S94" s="38" t="s">
        <v>6</v>
      </c>
      <c r="T94" s="440">
        <f>T73</f>
        <v>4.08E-4</v>
      </c>
      <c r="U94" s="492">
        <f>ROUND(R94*T94,2)</f>
        <v>104348.78</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4.0000000000000002E-4</v>
      </c>
      <c r="I96" s="101">
        <f t="shared" si="14"/>
        <v>-634.22</v>
      </c>
      <c r="N96" s="746" t="s">
        <v>439</v>
      </c>
      <c r="O96" s="747"/>
      <c r="P96" s="747"/>
      <c r="Q96" s="44"/>
      <c r="R96" s="438">
        <f t="shared" si="15"/>
        <v>-1585559</v>
      </c>
      <c r="S96" s="38" t="s">
        <v>6</v>
      </c>
      <c r="T96" s="440">
        <f>T73</f>
        <v>4.08E-4</v>
      </c>
      <c r="U96" s="492">
        <f>ROUND(R96*T96,2)</f>
        <v>-646.91</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4.5600000000000003E-4</v>
      </c>
      <c r="I98" s="101">
        <f t="shared" ref="I98" si="16">ROUND(F98*H98,2)</f>
        <v>0</v>
      </c>
      <c r="N98" s="551" t="s">
        <v>513</v>
      </c>
      <c r="O98" s="551"/>
      <c r="P98" s="551"/>
      <c r="Q98" s="44"/>
      <c r="R98" s="554">
        <f>F98</f>
        <v>0</v>
      </c>
      <c r="S98" s="552" t="s">
        <v>6</v>
      </c>
      <c r="T98" s="440">
        <f>T70</f>
        <v>4.5600000000000003E-4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v>
      </c>
      <c r="D105" s="703"/>
      <c r="E105" s="46">
        <f>H8</f>
        <v>1.0407999999999999</v>
      </c>
      <c r="F105" s="302">
        <f>'1461'!F105</f>
        <v>907.92</v>
      </c>
      <c r="G105" s="39" t="s">
        <v>12</v>
      </c>
      <c r="H105" s="101">
        <f>ROUND(C105*E105*F105,2)</f>
        <v>4724.82</v>
      </c>
      <c r="N105" s="50" t="s">
        <v>13</v>
      </c>
      <c r="O105" s="47">
        <f>T16+T17+T21+T24+T27</f>
        <v>5</v>
      </c>
      <c r="P105" s="761">
        <f>T8</f>
        <v>1.0407999999999999</v>
      </c>
      <c r="Q105" s="761"/>
      <c r="R105" s="48">
        <f>F105</f>
        <v>907.92</v>
      </c>
      <c r="S105" s="40" t="s">
        <v>12</v>
      </c>
      <c r="T105" s="498">
        <f>ROUND(O105*P105*R105,2)</f>
        <v>4724.82</v>
      </c>
      <c r="U105" s="51"/>
    </row>
    <row r="106" spans="1:21" ht="16.5" thickBot="1" x14ac:dyDescent="0.3">
      <c r="A106" s="52"/>
      <c r="B106" s="52" t="s">
        <v>103</v>
      </c>
      <c r="C106" s="703">
        <f>H18+H19+H22+H25+H28+H29</f>
        <v>88.861099999999993</v>
      </c>
      <c r="D106" s="703"/>
      <c r="E106" s="46">
        <f>H8</f>
        <v>1.0407999999999999</v>
      </c>
      <c r="F106" s="302">
        <f>'1461'!F106</f>
        <v>910.12</v>
      </c>
      <c r="G106" s="39" t="s">
        <v>12</v>
      </c>
      <c r="H106" s="94">
        <f>ROUND(C106*E106*F106,2)</f>
        <v>84173.93</v>
      </c>
      <c r="N106" s="53" t="s">
        <v>14</v>
      </c>
      <c r="O106" s="54">
        <f>T18+T19+T22+T25+T28+T29</f>
        <v>90.86</v>
      </c>
      <c r="P106" s="761">
        <f>T8</f>
        <v>1.0407999999999999</v>
      </c>
      <c r="Q106" s="761"/>
      <c r="R106" s="48">
        <f>F106</f>
        <v>910.12</v>
      </c>
      <c r="S106" s="40" t="s">
        <v>12</v>
      </c>
      <c r="T106" s="498">
        <f>ROUND(O106*P106*R106,2)</f>
        <v>86067.4</v>
      </c>
      <c r="U106" s="51"/>
    </row>
    <row r="107" spans="1:21" ht="16.5" thickBot="1" x14ac:dyDescent="0.3">
      <c r="A107" s="55"/>
      <c r="B107" s="122" t="s">
        <v>102</v>
      </c>
      <c r="C107" s="716">
        <f>SUM(C104:C106)</f>
        <v>93.861099999999993</v>
      </c>
      <c r="D107" s="716"/>
      <c r="E107" s="123"/>
      <c r="F107" s="123"/>
      <c r="G107" s="123"/>
      <c r="H107" s="124" t="s">
        <v>100</v>
      </c>
      <c r="I107" s="101">
        <f>IF(A1=75,0,H106+H105+H104)</f>
        <v>88898.75</v>
      </c>
      <c r="N107" s="56" t="s">
        <v>89</v>
      </c>
      <c r="O107" s="57">
        <f>SUM(O104:O106)</f>
        <v>95.86</v>
      </c>
      <c r="P107" s="756" t="s">
        <v>16</v>
      </c>
      <c r="Q107" s="757"/>
      <c r="R107" s="757"/>
      <c r="S107" s="757"/>
      <c r="T107" s="757"/>
      <c r="U107" s="492">
        <f>IF(N1=75,0,T106+T105+T104)</f>
        <v>90792.22</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66</v>
      </c>
      <c r="D113" s="143">
        <v>70</v>
      </c>
      <c r="E113" s="116">
        <f>(C113+D113)/2</f>
        <v>68</v>
      </c>
      <c r="F113" s="126" t="s">
        <v>30</v>
      </c>
      <c r="G113" s="303">
        <f>'1461'!G113</f>
        <v>567</v>
      </c>
      <c r="I113" s="101">
        <f>ROUND(G113*E113,2)</f>
        <v>38556</v>
      </c>
      <c r="N113" s="755" t="s">
        <v>52</v>
      </c>
      <c r="O113" s="755"/>
      <c r="P113" s="754">
        <f>IF(H133=1,E113,0)</f>
        <v>68</v>
      </c>
      <c r="Q113" s="754"/>
      <c r="R113" s="754"/>
      <c r="S113" s="83" t="s">
        <v>30</v>
      </c>
      <c r="T113" s="58">
        <f>G113</f>
        <v>567</v>
      </c>
      <c r="U113" s="492">
        <f>ROUND(T113*P113,2)</f>
        <v>38556</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1172542.75</v>
      </c>
      <c r="N128" s="472"/>
      <c r="O128" s="471"/>
      <c r="P128" s="471"/>
      <c r="Q128" s="305"/>
      <c r="R128" s="305"/>
      <c r="S128" s="305"/>
      <c r="T128" s="305"/>
      <c r="U128" s="499">
        <f>SUM(U30,U85,U88,U90,U92,U94,U96,U107,U113,U114,U124,U126)</f>
        <v>801620.52000000014</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1138661.56</v>
      </c>
      <c r="N130" s="747" t="s">
        <v>450</v>
      </c>
      <c r="O130" s="747"/>
      <c r="P130" s="747"/>
      <c r="Q130" s="747"/>
      <c r="R130" s="747"/>
      <c r="S130" s="747"/>
      <c r="T130" s="747"/>
      <c r="U130" s="132">
        <f>U128-U53</f>
        <v>766197.47000000009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766197.47000000009</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766197.47000000009</v>
      </c>
      <c r="I135" s="94">
        <f>ROUND(IF(E30=0,0,IF(E30&gt;250,-(((250/E30)*H135)*IF(G135="H",0.02,0.05)),IF(G135="H",-0.02*H135,-0.05*H135))),2)</f>
        <v>-38309.870000000003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1134232.8799999999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-468119.1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666113.77999999991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95159.11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CCCC"/>
  </sheetPr>
  <dimension ref="A1:V221"/>
  <sheetViews>
    <sheetView topLeftCell="A27" workbookViewId="0">
      <selection activeCell="C66" sqref="C66"/>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121</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0.5</v>
      </c>
      <c r="D16" s="143">
        <v>0</v>
      </c>
      <c r="E16" s="116">
        <f t="shared" si="1"/>
        <v>1</v>
      </c>
      <c r="F16" s="788">
        <f>'1461'!F16:G16</f>
        <v>1</v>
      </c>
      <c r="G16" s="788"/>
      <c r="H16" s="80">
        <f t="shared" si="2"/>
        <v>1</v>
      </c>
      <c r="I16" s="101">
        <f t="shared" si="3"/>
        <v>5548.48</v>
      </c>
      <c r="N16" s="747" t="s">
        <v>22</v>
      </c>
      <c r="O16" s="747"/>
      <c r="P16" s="789">
        <f t="shared" si="0"/>
        <v>0</v>
      </c>
      <c r="Q16" s="789"/>
      <c r="R16" s="793">
        <v>1</v>
      </c>
      <c r="S16" s="793"/>
      <c r="T16" s="95">
        <f t="shared" si="4"/>
        <v>0</v>
      </c>
      <c r="U16" s="492">
        <f t="shared" si="5"/>
        <v>0</v>
      </c>
    </row>
    <row r="17" spans="1:21" x14ac:dyDescent="0.25">
      <c r="A17" s="705" t="s">
        <v>23</v>
      </c>
      <c r="B17" s="705"/>
      <c r="C17" s="143">
        <v>0.5</v>
      </c>
      <c r="D17" s="143">
        <v>0</v>
      </c>
      <c r="E17" s="116">
        <f t="shared" si="1"/>
        <v>1</v>
      </c>
      <c r="F17" s="788">
        <f>'1461'!F17:G17</f>
        <v>1</v>
      </c>
      <c r="G17" s="788"/>
      <c r="H17" s="80">
        <f t="shared" si="2"/>
        <v>1</v>
      </c>
      <c r="I17" s="101">
        <f t="shared" si="3"/>
        <v>5548.48</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159.38</v>
      </c>
      <c r="D18" s="143">
        <v>0</v>
      </c>
      <c r="E18" s="116">
        <f t="shared" si="1"/>
        <v>318.76</v>
      </c>
      <c r="F18" s="788">
        <f>'1461'!F18:G18</f>
        <v>0.97799999999999998</v>
      </c>
      <c r="G18" s="788"/>
      <c r="H18" s="80">
        <f t="shared" si="2"/>
        <v>311.7473</v>
      </c>
      <c r="I18" s="101">
        <f t="shared" si="3"/>
        <v>1729724.9</v>
      </c>
      <c r="N18" s="747" t="s">
        <v>24</v>
      </c>
      <c r="O18" s="747"/>
      <c r="P18" s="789">
        <f t="shared" si="0"/>
        <v>0</v>
      </c>
      <c r="Q18" s="789"/>
      <c r="R18" s="793">
        <v>1</v>
      </c>
      <c r="S18" s="793"/>
      <c r="T18" s="95">
        <f t="shared" si="4"/>
        <v>0</v>
      </c>
      <c r="U18" s="492">
        <f t="shared" si="5"/>
        <v>0</v>
      </c>
    </row>
    <row r="19" spans="1:21" x14ac:dyDescent="0.25">
      <c r="A19" s="705" t="s">
        <v>25</v>
      </c>
      <c r="B19" s="705"/>
      <c r="C19" s="143">
        <v>39.5</v>
      </c>
      <c r="D19" s="143">
        <v>0</v>
      </c>
      <c r="E19" s="116">
        <f t="shared" si="1"/>
        <v>79</v>
      </c>
      <c r="F19" s="788">
        <f>'1461'!F19:G19</f>
        <v>0.97799999999999998</v>
      </c>
      <c r="G19" s="788"/>
      <c r="H19" s="80">
        <f t="shared" si="2"/>
        <v>77.262</v>
      </c>
      <c r="I19" s="101">
        <f t="shared" si="3"/>
        <v>428686.97</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11.26</v>
      </c>
      <c r="D28" s="143">
        <v>0</v>
      </c>
      <c r="E28" s="116">
        <f t="shared" si="1"/>
        <v>22.52</v>
      </c>
      <c r="F28" s="788">
        <f>'1461'!F28:G28</f>
        <v>1.1919999999999999</v>
      </c>
      <c r="G28" s="788"/>
      <c r="H28" s="80">
        <f t="shared" si="2"/>
        <v>26.843800000000002</v>
      </c>
      <c r="I28" s="101">
        <f t="shared" si="3"/>
        <v>148942.39000000001</v>
      </c>
      <c r="N28" s="747" t="s">
        <v>87</v>
      </c>
      <c r="O28" s="747"/>
      <c r="P28" s="789">
        <f t="shared" si="0"/>
        <v>0</v>
      </c>
      <c r="Q28" s="789"/>
      <c r="R28" s="793">
        <v>1</v>
      </c>
      <c r="S28" s="793"/>
      <c r="T28" s="95">
        <f t="shared" si="4"/>
        <v>0</v>
      </c>
      <c r="U28" s="492">
        <f t="shared" si="5"/>
        <v>0</v>
      </c>
    </row>
    <row r="29" spans="1:21" x14ac:dyDescent="0.25">
      <c r="A29" s="705" t="s">
        <v>88</v>
      </c>
      <c r="B29" s="705"/>
      <c r="C29" s="110">
        <v>1.7</v>
      </c>
      <c r="D29" s="110">
        <v>0</v>
      </c>
      <c r="E29" s="154">
        <f t="shared" si="1"/>
        <v>3.4</v>
      </c>
      <c r="F29" s="788">
        <f>'1461'!F29:G29</f>
        <v>1.079</v>
      </c>
      <c r="G29" s="788"/>
      <c r="H29" s="93">
        <f t="shared" si="2"/>
        <v>3.6686000000000001</v>
      </c>
      <c r="I29" s="94">
        <f t="shared" si="3"/>
        <v>20355.169999999998</v>
      </c>
      <c r="N29" s="748" t="s">
        <v>88</v>
      </c>
      <c r="O29" s="748"/>
      <c r="P29" s="789">
        <f t="shared" si="0"/>
        <v>0</v>
      </c>
      <c r="Q29" s="789"/>
      <c r="R29" s="790">
        <v>1</v>
      </c>
      <c r="S29" s="790"/>
      <c r="T29" s="95">
        <f t="shared" si="4"/>
        <v>0</v>
      </c>
      <c r="U29" s="492">
        <f t="shared" si="5"/>
        <v>0</v>
      </c>
    </row>
    <row r="30" spans="1:21" x14ac:dyDescent="0.25">
      <c r="A30" s="708" t="s">
        <v>5</v>
      </c>
      <c r="B30" s="708"/>
      <c r="C30" s="94">
        <f>SUM(C14:C29)</f>
        <v>212.83999999999997</v>
      </c>
      <c r="D30" s="94">
        <f>SUM(D14:D29)</f>
        <v>0</v>
      </c>
      <c r="E30" s="94">
        <f>SUM(E14:E29)</f>
        <v>425.67999999999995</v>
      </c>
      <c r="F30" s="724"/>
      <c r="G30" s="724"/>
      <c r="H30" s="99">
        <f>SUM(H14:H29)</f>
        <v>421.52170000000001</v>
      </c>
      <c r="I30" s="94">
        <f>SUM(I14:I29)</f>
        <v>2338806.39</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2100483.48</v>
      </c>
      <c r="G51" s="109" t="s">
        <v>6</v>
      </c>
      <c r="H51" s="420">
        <v>5.5899999999999998E-2</v>
      </c>
      <c r="I51" s="101">
        <f>ROUND(F51*H51,2)</f>
        <v>117417.03</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2100483.48</v>
      </c>
      <c r="G52" s="109" t="s">
        <v>6</v>
      </c>
      <c r="H52" s="420">
        <v>1.0699999999999999E-2</v>
      </c>
      <c r="I52" s="101">
        <f>ROUND(F52*H52,2)</f>
        <v>22475.17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139892.20000000001</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0.5</v>
      </c>
      <c r="D60" s="143">
        <v>0</v>
      </c>
      <c r="E60" s="116">
        <f t="shared" si="10"/>
        <v>1</v>
      </c>
      <c r="F60" s="463" t="s">
        <v>13</v>
      </c>
      <c r="G60" s="462">
        <v>251</v>
      </c>
      <c r="H60" s="476">
        <f>'1461'!H60</f>
        <v>1173</v>
      </c>
      <c r="I60" s="101">
        <f t="shared" si="11"/>
        <v>1173</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34.270000000000003</v>
      </c>
      <c r="D63" s="143">
        <v>0</v>
      </c>
      <c r="E63" s="116">
        <f t="shared" si="10"/>
        <v>68.540000000000006</v>
      </c>
      <c r="F63" s="463" t="s">
        <v>14</v>
      </c>
      <c r="G63" s="462">
        <v>251</v>
      </c>
      <c r="H63" s="476">
        <f>'1461'!H63</f>
        <v>835</v>
      </c>
      <c r="I63" s="101">
        <f t="shared" si="11"/>
        <v>57230.9</v>
      </c>
      <c r="N63" s="779"/>
      <c r="O63" s="779"/>
      <c r="P63" s="773"/>
      <c r="Q63" s="773"/>
      <c r="R63" s="40" t="s">
        <v>14</v>
      </c>
      <c r="S63" s="468">
        <v>251</v>
      </c>
      <c r="T63" s="479">
        <f t="shared" si="12"/>
        <v>835</v>
      </c>
      <c r="U63" s="493">
        <f t="shared" si="13"/>
        <v>0</v>
      </c>
      <c r="V63" s="443"/>
    </row>
    <row r="64" spans="1:22" x14ac:dyDescent="0.25">
      <c r="A64" s="721"/>
      <c r="B64" s="721"/>
      <c r="C64" s="143">
        <v>5.23</v>
      </c>
      <c r="D64" s="143">
        <v>0</v>
      </c>
      <c r="E64" s="116">
        <f t="shared" si="10"/>
        <v>10.46</v>
      </c>
      <c r="F64" s="463" t="s">
        <v>14</v>
      </c>
      <c r="G64" s="462">
        <v>252</v>
      </c>
      <c r="H64" s="476">
        <f>'1461'!H64</f>
        <v>3168</v>
      </c>
      <c r="I64" s="101">
        <f t="shared" si="11"/>
        <v>33137.279999999999</v>
      </c>
      <c r="N64" s="779"/>
      <c r="O64" s="779"/>
      <c r="P64" s="773"/>
      <c r="Q64" s="773"/>
      <c r="R64" s="40" t="s">
        <v>14</v>
      </c>
      <c r="S64" s="468">
        <v>252</v>
      </c>
      <c r="T64" s="479">
        <f t="shared" si="12"/>
        <v>3168</v>
      </c>
      <c r="U64" s="493">
        <f t="shared" si="13"/>
        <v>0</v>
      </c>
      <c r="V64" s="443"/>
    </row>
    <row r="65" spans="1:22" ht="16.5" thickBot="1" x14ac:dyDescent="0.3">
      <c r="A65" s="721"/>
      <c r="B65" s="721"/>
      <c r="C65" s="143"/>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40</v>
      </c>
      <c r="D66" s="97">
        <f>SUM(D57:D65)</f>
        <v>0</v>
      </c>
      <c r="E66" s="97">
        <f>SUM(E57:E65)</f>
        <v>80</v>
      </c>
      <c r="F66" s="708" t="s">
        <v>464</v>
      </c>
      <c r="G66" s="708"/>
      <c r="H66" s="708"/>
      <c r="I66" s="97">
        <f>SUM(I57:I65)</f>
        <v>91541.18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425.67999999999995</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2.0249999999999999E-3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421.52170000000001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1.7949999999999999E-3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425.67999999999995</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2.2680000000000001E-3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425.67999999999995</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2.0279999999999999E-3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425.67999999999995</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2.2720000000000001E-3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2.0279999999999999E-3</v>
      </c>
      <c r="I85" s="101">
        <f>ROUND(F85*H85,2)</f>
        <v>93619.99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2.0249999999999999E-3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2.2720000000000001E-3</v>
      </c>
      <c r="I90" s="101">
        <f>ROUND(F90*H90,2)</f>
        <v>43263.48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2.2680000000000001E-3</v>
      </c>
      <c r="I92" s="101">
        <f t="shared" ref="I92:I96" si="14">ROUND(F92*H92,2)</f>
        <v>25948.53</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1.7949999999999999E-3</v>
      </c>
      <c r="I94" s="101">
        <f t="shared" si="14"/>
        <v>459083.48</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1.7949999999999999E-3</v>
      </c>
      <c r="I96" s="101">
        <f t="shared" si="14"/>
        <v>-2846.08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2.0249999999999999E-3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2</v>
      </c>
      <c r="D105" s="703"/>
      <c r="E105" s="46">
        <f>H8</f>
        <v>1.0407999999999999</v>
      </c>
      <c r="F105" s="302">
        <f>'1461'!F105</f>
        <v>907.92</v>
      </c>
      <c r="G105" s="39" t="s">
        <v>12</v>
      </c>
      <c r="H105" s="101">
        <f>ROUND(C105*E105*F105,2)</f>
        <v>1889.93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419.52170000000001</v>
      </c>
      <c r="D106" s="703"/>
      <c r="E106" s="46">
        <f>H8</f>
        <v>1.0407999999999999</v>
      </c>
      <c r="F106" s="302">
        <f>'1461'!F106</f>
        <v>910.12</v>
      </c>
      <c r="G106" s="39" t="s">
        <v>12</v>
      </c>
      <c r="H106" s="94">
        <f>ROUND(C106*E106*F106,2)</f>
        <v>397393.15</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421.52170000000001</v>
      </c>
      <c r="D107" s="716"/>
      <c r="E107" s="123"/>
      <c r="F107" s="123"/>
      <c r="G107" s="123"/>
      <c r="H107" s="124" t="s">
        <v>100</v>
      </c>
      <c r="I107" s="101">
        <f>IF(A1=75,0,H106+H105+H104)</f>
        <v>399283.08</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254</v>
      </c>
      <c r="D113" s="143">
        <v>309</v>
      </c>
      <c r="E113" s="116">
        <f>(C113+D113)/2</f>
        <v>281.5</v>
      </c>
      <c r="F113" s="126" t="s">
        <v>30</v>
      </c>
      <c r="G113" s="303">
        <f>'1461'!G113</f>
        <v>567</v>
      </c>
      <c r="I113" s="101">
        <f>ROUND(G113*E113,2)</f>
        <v>159610.5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3608310.5500000003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3468418.35</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3468418.35</v>
      </c>
      <c r="I135" s="94">
        <f>ROUND(IF(E30=0,0,IF(E30&gt;250,-(((250/E30)*H135)*IF(G135="H",0.02,0.05)),IF(G135="H",-0.02*H135,-0.05*H135))),2)</f>
        <v>-101849.35</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3506461.2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-1312195.8799999999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2194265.3200000003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313466.46999999997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71571.570000000007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CCCC"/>
  </sheetPr>
  <dimension ref="A1:V221"/>
  <sheetViews>
    <sheetView topLeftCell="A22"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99.81</v>
      </c>
      <c r="D14" s="141">
        <v>0</v>
      </c>
      <c r="E14" s="187">
        <f>IF(D$30=0,C14*2,C14+D14)</f>
        <v>199.62</v>
      </c>
      <c r="F14" s="797">
        <f>'1461'!F14:G14</f>
        <v>1.1180000000000001</v>
      </c>
      <c r="G14" s="797"/>
      <c r="H14" s="145">
        <f>ROUND(E14*F14,4)</f>
        <v>223.17519999999999</v>
      </c>
      <c r="I14" s="111">
        <f>ROUND(ROUND(ROUND(H14*$C$8,4)*($H$8),2)*(MAX($H$9,1)),2)</f>
        <v>1238284.02</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18</v>
      </c>
      <c r="D15" s="143">
        <v>0</v>
      </c>
      <c r="E15" s="116">
        <f t="shared" ref="E15:E29" si="1">IF(D$30=0,C15*2,C15+D15)</f>
        <v>36</v>
      </c>
      <c r="F15" s="788">
        <f>'1461'!F15:G15</f>
        <v>1.1180000000000001</v>
      </c>
      <c r="G15" s="788"/>
      <c r="H15" s="80">
        <f t="shared" ref="H15:H29" si="2">ROUND(E15*F15,4)</f>
        <v>40.247999999999998</v>
      </c>
      <c r="I15" s="101">
        <f t="shared" ref="I15:I29" si="3">ROUND(ROUND(ROUND(H15*$C$8,4)*($H$8),2)*(MAX($H$9,1)),2)</f>
        <v>223315.38</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47.68</v>
      </c>
      <c r="D16" s="143">
        <v>0</v>
      </c>
      <c r="E16" s="116">
        <f t="shared" si="1"/>
        <v>95.36</v>
      </c>
      <c r="F16" s="788">
        <f>'1461'!F16:G16</f>
        <v>1</v>
      </c>
      <c r="G16" s="788"/>
      <c r="H16" s="80">
        <f t="shared" si="2"/>
        <v>95.36</v>
      </c>
      <c r="I16" s="101">
        <f t="shared" si="3"/>
        <v>529103.43000000005</v>
      </c>
      <c r="N16" s="747" t="s">
        <v>22</v>
      </c>
      <c r="O16" s="747"/>
      <c r="P16" s="789">
        <f t="shared" si="0"/>
        <v>0</v>
      </c>
      <c r="Q16" s="789"/>
      <c r="R16" s="793">
        <v>1</v>
      </c>
      <c r="S16" s="793"/>
      <c r="T16" s="95">
        <f t="shared" si="4"/>
        <v>0</v>
      </c>
      <c r="U16" s="492">
        <f t="shared" si="5"/>
        <v>0</v>
      </c>
    </row>
    <row r="17" spans="1:21" x14ac:dyDescent="0.25">
      <c r="A17" s="705" t="s">
        <v>23</v>
      </c>
      <c r="B17" s="705"/>
      <c r="C17" s="143">
        <v>15</v>
      </c>
      <c r="D17" s="143">
        <v>0</v>
      </c>
      <c r="E17" s="116">
        <f t="shared" si="1"/>
        <v>30</v>
      </c>
      <c r="F17" s="788">
        <f>'1461'!F17:G17</f>
        <v>1</v>
      </c>
      <c r="G17" s="788"/>
      <c r="H17" s="80">
        <f t="shared" si="2"/>
        <v>30</v>
      </c>
      <c r="I17" s="101">
        <f t="shared" si="3"/>
        <v>166454.51999999999</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11.690000000000001</v>
      </c>
      <c r="D26" s="143">
        <v>0</v>
      </c>
      <c r="E26" s="116">
        <f t="shared" si="1"/>
        <v>23.380000000000003</v>
      </c>
      <c r="F26" s="788">
        <f>'1461'!F26:G26</f>
        <v>1.1919999999999999</v>
      </c>
      <c r="G26" s="788"/>
      <c r="H26" s="80">
        <f t="shared" si="2"/>
        <v>27.869</v>
      </c>
      <c r="I26" s="101">
        <f t="shared" si="3"/>
        <v>154630.70000000001</v>
      </c>
      <c r="N26" s="747" t="s">
        <v>85</v>
      </c>
      <c r="O26" s="747"/>
      <c r="P26" s="789">
        <f t="shared" si="0"/>
        <v>0</v>
      </c>
      <c r="Q26" s="789"/>
      <c r="R26" s="793">
        <v>1</v>
      </c>
      <c r="S26" s="793"/>
      <c r="T26" s="95">
        <f t="shared" si="4"/>
        <v>0</v>
      </c>
      <c r="U26" s="492">
        <f t="shared" si="5"/>
        <v>0</v>
      </c>
    </row>
    <row r="27" spans="1:21" x14ac:dyDescent="0.25">
      <c r="A27" s="705" t="s">
        <v>86</v>
      </c>
      <c r="B27" s="705"/>
      <c r="C27" s="143">
        <v>2.83</v>
      </c>
      <c r="D27" s="143">
        <v>0</v>
      </c>
      <c r="E27" s="116">
        <f t="shared" si="1"/>
        <v>5.66</v>
      </c>
      <c r="F27" s="788">
        <f>'1461'!F27:G27</f>
        <v>1.1919999999999999</v>
      </c>
      <c r="G27" s="788"/>
      <c r="H27" s="80">
        <f t="shared" si="2"/>
        <v>6.7466999999999997</v>
      </c>
      <c r="I27" s="101">
        <f t="shared" si="3"/>
        <v>37433.96</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195.01000000000002</v>
      </c>
      <c r="D30" s="94">
        <f>SUM(D14:D29)</f>
        <v>0</v>
      </c>
      <c r="E30" s="94">
        <f>SUM(E14:E29)</f>
        <v>390.02000000000004</v>
      </c>
      <c r="F30" s="724"/>
      <c r="G30" s="724"/>
      <c r="H30" s="99">
        <f>SUM(H14:H29)</f>
        <v>423.39889999999997</v>
      </c>
      <c r="I30" s="94">
        <f>SUM(I14:I29)</f>
        <v>2349222.0100000002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2243858.5099999998</v>
      </c>
      <c r="G51" s="109" t="s">
        <v>6</v>
      </c>
      <c r="H51" s="420">
        <v>5.5899999999999998E-2</v>
      </c>
      <c r="I51" s="101">
        <f>ROUND(F51*H51,2)</f>
        <v>125431.69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2243858.5099999998</v>
      </c>
      <c r="G52" s="109" t="s">
        <v>6</v>
      </c>
      <c r="H52" s="420">
        <v>1.0699999999999999E-2</v>
      </c>
      <c r="I52" s="101">
        <f>ROUND(F52*H52,2)</f>
        <v>24009.29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149440.98000000001</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16.04</v>
      </c>
      <c r="D57" s="143">
        <v>0</v>
      </c>
      <c r="E57" s="116">
        <f t="shared" ref="E57:E65" si="10">IF(D$66=0,C57*2,C57+D57)</f>
        <v>32.08</v>
      </c>
      <c r="F57" s="462" t="s">
        <v>455</v>
      </c>
      <c r="G57" s="462">
        <v>251</v>
      </c>
      <c r="H57" s="476">
        <f>'1461'!H57</f>
        <v>1047</v>
      </c>
      <c r="I57" s="101">
        <f>ROUND(E57*H57,2)</f>
        <v>33587.760000000002</v>
      </c>
      <c r="N57" s="778" t="s">
        <v>463</v>
      </c>
      <c r="O57" s="778"/>
      <c r="P57" s="780"/>
      <c r="Q57" s="780"/>
      <c r="R57" s="468" t="s">
        <v>455</v>
      </c>
      <c r="S57" s="468">
        <v>251</v>
      </c>
      <c r="T57" s="479">
        <f>H57</f>
        <v>1047</v>
      </c>
      <c r="U57" s="493">
        <f>ROUND(P57*T57,2)</f>
        <v>0</v>
      </c>
      <c r="V57" s="443"/>
    </row>
    <row r="58" spans="1:22" x14ac:dyDescent="0.25">
      <c r="A58" s="721"/>
      <c r="B58" s="721"/>
      <c r="C58" s="143">
        <v>1.96</v>
      </c>
      <c r="D58" s="143">
        <v>0</v>
      </c>
      <c r="E58" s="116">
        <f t="shared" si="10"/>
        <v>3.92</v>
      </c>
      <c r="F58" s="462" t="s">
        <v>455</v>
      </c>
      <c r="G58" s="462">
        <v>252</v>
      </c>
      <c r="H58" s="476">
        <f>'1461'!H58</f>
        <v>3380</v>
      </c>
      <c r="I58" s="101">
        <f t="shared" ref="I58:I65" si="11">ROUND(E58*H58,2)</f>
        <v>13249.6</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14.39</v>
      </c>
      <c r="D60" s="143">
        <v>0</v>
      </c>
      <c r="E60" s="116">
        <f t="shared" si="10"/>
        <v>28.78</v>
      </c>
      <c r="F60" s="463" t="s">
        <v>13</v>
      </c>
      <c r="G60" s="462">
        <v>251</v>
      </c>
      <c r="H60" s="476">
        <f>'1461'!H60</f>
        <v>1173</v>
      </c>
      <c r="I60" s="101">
        <f t="shared" si="11"/>
        <v>33758.94</v>
      </c>
      <c r="N60" s="779"/>
      <c r="O60" s="779"/>
      <c r="P60" s="773"/>
      <c r="Q60" s="773"/>
      <c r="R60" s="40" t="s">
        <v>13</v>
      </c>
      <c r="S60" s="468">
        <v>251</v>
      </c>
      <c r="T60" s="479">
        <f t="shared" si="12"/>
        <v>1173</v>
      </c>
      <c r="U60" s="493">
        <f t="shared" si="13"/>
        <v>0</v>
      </c>
      <c r="V60" s="443"/>
    </row>
    <row r="61" spans="1:22" x14ac:dyDescent="0.25">
      <c r="A61" s="721"/>
      <c r="B61" s="721"/>
      <c r="C61" s="143">
        <v>0.61</v>
      </c>
      <c r="D61" s="143">
        <v>0</v>
      </c>
      <c r="E61" s="116">
        <f t="shared" si="10"/>
        <v>1.22</v>
      </c>
      <c r="F61" s="463" t="s">
        <v>13</v>
      </c>
      <c r="G61" s="462">
        <v>252</v>
      </c>
      <c r="H61" s="476">
        <f>'1461'!H61</f>
        <v>3506</v>
      </c>
      <c r="I61" s="101">
        <f t="shared" si="11"/>
        <v>4277.32</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33</v>
      </c>
      <c r="D66" s="97">
        <f>SUM(D57:D65)</f>
        <v>0</v>
      </c>
      <c r="E66" s="97">
        <f>SUM(E57:E65)</f>
        <v>66</v>
      </c>
      <c r="F66" s="708" t="s">
        <v>464</v>
      </c>
      <c r="G66" s="708"/>
      <c r="H66" s="708"/>
      <c r="I66" s="97">
        <f>SUM(I57:I65)</f>
        <v>84873.62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390.02000000000004</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1.8550000000000001E-3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423.39889999999997</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1.8029999999999999E-3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390.02000000000004</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2.078E-3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390.02000000000004</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1.8580000000000001E-3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390.02000000000004</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2.0820000000000001E-3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1.8580000000000001E-3</v>
      </c>
      <c r="I85" s="101">
        <f>ROUND(F85*H85,2)</f>
        <v>85772.160000000003</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1.8550000000000001E-3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2.0820000000000001E-3</v>
      </c>
      <c r="I90" s="101">
        <f>ROUND(F90*H90,2)</f>
        <v>39645.5</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2.078E-3</v>
      </c>
      <c r="I92" s="101">
        <f t="shared" ref="I92:I96" si="14">ROUND(F92*H92,2)</f>
        <v>23774.71</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1.8029999999999999E-3</v>
      </c>
      <c r="I94" s="101">
        <f t="shared" si="14"/>
        <v>461129.54</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1.8029999999999999E-3</v>
      </c>
      <c r="I96" s="101">
        <f t="shared" si="14"/>
        <v>-2858.76</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1.8550000000000001E-3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291.29219999999998</v>
      </c>
      <c r="D104" s="703"/>
      <c r="E104" s="46">
        <f>H8</f>
        <v>1.0407999999999999</v>
      </c>
      <c r="F104" s="302">
        <f>'1461'!F104</f>
        <v>950.92</v>
      </c>
      <c r="G104" s="39" t="s">
        <v>12</v>
      </c>
      <c r="H104" s="101">
        <f>ROUND(C104*E104*F104,2)</f>
        <v>288297</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132.10669999999999</v>
      </c>
      <c r="D105" s="703"/>
      <c r="E105" s="46">
        <f>H8</f>
        <v>1.0407999999999999</v>
      </c>
      <c r="F105" s="302">
        <f>'1461'!F105</f>
        <v>907.92</v>
      </c>
      <c r="G105" s="39" t="s">
        <v>12</v>
      </c>
      <c r="H105" s="101">
        <f>ROUND(C105*E105*F105,2)</f>
        <v>124835.96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423.39889999999997</v>
      </c>
      <c r="D107" s="716"/>
      <c r="E107" s="123"/>
      <c r="F107" s="123"/>
      <c r="G107" s="123"/>
      <c r="H107" s="124" t="s">
        <v>100</v>
      </c>
      <c r="I107" s="101">
        <f>IF(A1=75,0,H106+H105+H104)</f>
        <v>413132.96</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3454691.7400000007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3305250.7600000007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3305250.7600000007</v>
      </c>
      <c r="I135" s="94">
        <f>ROUND(IF(E30=0,0,IF(E30&gt;250,-(((250/E30)*H135)*IF(G135="H",0.02,0.05)),IF(G135="H",-0.02*H135,-0.05*H135))),2)</f>
        <v>-42372.84</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3412318.9000000008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-1360977.06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2051341.8400000008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293048.83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23732.18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CCCC"/>
  </sheetPr>
  <dimension ref="A1:V221"/>
  <sheetViews>
    <sheetView topLeftCell="A25" workbookViewId="0">
      <selection activeCell="D24" sqref="D2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187.9</v>
      </c>
      <c r="D18" s="143">
        <v>0</v>
      </c>
      <c r="E18" s="116">
        <f t="shared" si="1"/>
        <v>375.8</v>
      </c>
      <c r="F18" s="788">
        <f>'1461'!F18:G18</f>
        <v>0.97799999999999998</v>
      </c>
      <c r="G18" s="788"/>
      <c r="H18" s="80">
        <f t="shared" si="2"/>
        <v>367.5324</v>
      </c>
      <c r="I18" s="101">
        <f t="shared" si="3"/>
        <v>2039247.64</v>
      </c>
      <c r="N18" s="747" t="s">
        <v>24</v>
      </c>
      <c r="O18" s="747"/>
      <c r="P18" s="789">
        <f t="shared" si="0"/>
        <v>0</v>
      </c>
      <c r="Q18" s="789"/>
      <c r="R18" s="793">
        <v>1</v>
      </c>
      <c r="S18" s="793"/>
      <c r="T18" s="95">
        <f t="shared" si="4"/>
        <v>0</v>
      </c>
      <c r="U18" s="492">
        <f t="shared" si="5"/>
        <v>0</v>
      </c>
    </row>
    <row r="19" spans="1:21" x14ac:dyDescent="0.25">
      <c r="A19" s="705" t="s">
        <v>25</v>
      </c>
      <c r="B19" s="705"/>
      <c r="C19" s="143">
        <v>44.34</v>
      </c>
      <c r="D19" s="143">
        <v>0</v>
      </c>
      <c r="E19" s="116">
        <f t="shared" si="1"/>
        <v>88.68</v>
      </c>
      <c r="F19" s="788">
        <f>'1461'!F19:G19</f>
        <v>0.97799999999999998</v>
      </c>
      <c r="G19" s="788"/>
      <c r="H19" s="80">
        <f t="shared" si="2"/>
        <v>86.728999999999999</v>
      </c>
      <c r="I19" s="101">
        <f t="shared" si="3"/>
        <v>481214.47</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4.45</v>
      </c>
      <c r="D28" s="143">
        <v>0</v>
      </c>
      <c r="E28" s="116">
        <f t="shared" si="1"/>
        <v>8.9</v>
      </c>
      <c r="F28" s="788">
        <f>'1461'!F28:G28</f>
        <v>1.1919999999999999</v>
      </c>
      <c r="G28" s="788"/>
      <c r="H28" s="80">
        <f t="shared" si="2"/>
        <v>10.6088</v>
      </c>
      <c r="I28" s="101">
        <f t="shared" si="3"/>
        <v>58862.76</v>
      </c>
      <c r="N28" s="747" t="s">
        <v>87</v>
      </c>
      <c r="O28" s="747"/>
      <c r="P28" s="789">
        <f t="shared" si="0"/>
        <v>0</v>
      </c>
      <c r="Q28" s="789"/>
      <c r="R28" s="793">
        <v>1</v>
      </c>
      <c r="S28" s="793"/>
      <c r="T28" s="95">
        <f t="shared" si="4"/>
        <v>0</v>
      </c>
      <c r="U28" s="492">
        <f t="shared" si="5"/>
        <v>0</v>
      </c>
    </row>
    <row r="29" spans="1:21" x14ac:dyDescent="0.25">
      <c r="A29" s="705" t="s">
        <v>88</v>
      </c>
      <c r="B29" s="705"/>
      <c r="C29" s="110">
        <v>2.9</v>
      </c>
      <c r="D29" s="110">
        <v>0</v>
      </c>
      <c r="E29" s="154">
        <f t="shared" si="1"/>
        <v>5.8</v>
      </c>
      <c r="F29" s="788">
        <f>'1461'!F29:G29</f>
        <v>1.079</v>
      </c>
      <c r="G29" s="788"/>
      <c r="H29" s="93">
        <f t="shared" si="2"/>
        <v>6.2582000000000004</v>
      </c>
      <c r="I29" s="94">
        <f t="shared" si="3"/>
        <v>34723.519999999997</v>
      </c>
      <c r="N29" s="748" t="s">
        <v>88</v>
      </c>
      <c r="O29" s="748"/>
      <c r="P29" s="789">
        <f t="shared" si="0"/>
        <v>0</v>
      </c>
      <c r="Q29" s="789"/>
      <c r="R29" s="790">
        <v>1</v>
      </c>
      <c r="S29" s="790"/>
      <c r="T29" s="95">
        <f t="shared" si="4"/>
        <v>0</v>
      </c>
      <c r="U29" s="492">
        <f t="shared" si="5"/>
        <v>0</v>
      </c>
    </row>
    <row r="30" spans="1:21" x14ac:dyDescent="0.25">
      <c r="A30" s="708" t="s">
        <v>5</v>
      </c>
      <c r="B30" s="708"/>
      <c r="C30" s="94">
        <f>SUM(C14:C29)</f>
        <v>239.59</v>
      </c>
      <c r="D30" s="94">
        <f>SUM(D14:D29)</f>
        <v>0</v>
      </c>
      <c r="E30" s="94">
        <f>SUM(E14:E29)</f>
        <v>479.18</v>
      </c>
      <c r="F30" s="724"/>
      <c r="G30" s="724"/>
      <c r="H30" s="99">
        <f>SUM(H14:H29)</f>
        <v>471.12839999999994</v>
      </c>
      <c r="I30" s="94">
        <f>SUM(I14:I29)</f>
        <v>2614048.3899999997</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2233709.7999999998</v>
      </c>
      <c r="G51" s="109" t="s">
        <v>6</v>
      </c>
      <c r="H51" s="420">
        <v>5.5899999999999998E-2</v>
      </c>
      <c r="I51" s="101">
        <f>ROUND(F51*H51,2)</f>
        <v>124864.38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2233709.7999999998</v>
      </c>
      <c r="G52" s="109" t="s">
        <v>6</v>
      </c>
      <c r="H52" s="420">
        <v>1.0699999999999999E-2</v>
      </c>
      <c r="I52" s="101">
        <f>ROUND(F52*H52,2)</f>
        <v>23900.69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148765.07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42.34</v>
      </c>
      <c r="D63" s="143">
        <v>0</v>
      </c>
      <c r="E63" s="116">
        <f t="shared" si="10"/>
        <v>84.68</v>
      </c>
      <c r="F63" s="463" t="s">
        <v>14</v>
      </c>
      <c r="G63" s="462">
        <v>251</v>
      </c>
      <c r="H63" s="476">
        <f>'1461'!H63</f>
        <v>835</v>
      </c>
      <c r="I63" s="101">
        <f t="shared" si="11"/>
        <v>70707.8</v>
      </c>
      <c r="N63" s="779"/>
      <c r="O63" s="779"/>
      <c r="P63" s="773"/>
      <c r="Q63" s="773"/>
      <c r="R63" s="40" t="s">
        <v>14</v>
      </c>
      <c r="S63" s="468">
        <v>251</v>
      </c>
      <c r="T63" s="479">
        <f t="shared" si="12"/>
        <v>835</v>
      </c>
      <c r="U63" s="493">
        <f t="shared" si="13"/>
        <v>0</v>
      </c>
      <c r="V63" s="443"/>
    </row>
    <row r="64" spans="1:22" x14ac:dyDescent="0.25">
      <c r="A64" s="721"/>
      <c r="B64" s="721"/>
      <c r="C64" s="143">
        <v>1.75</v>
      </c>
      <c r="D64" s="143">
        <v>0</v>
      </c>
      <c r="E64" s="116">
        <f t="shared" si="10"/>
        <v>3.5</v>
      </c>
      <c r="F64" s="463" t="s">
        <v>14</v>
      </c>
      <c r="G64" s="462">
        <v>252</v>
      </c>
      <c r="H64" s="476">
        <f>'1461'!H64</f>
        <v>3168</v>
      </c>
      <c r="I64" s="101">
        <f t="shared" si="11"/>
        <v>11088</v>
      </c>
      <c r="N64" s="779"/>
      <c r="O64" s="779"/>
      <c r="P64" s="773"/>
      <c r="Q64" s="773"/>
      <c r="R64" s="40" t="s">
        <v>14</v>
      </c>
      <c r="S64" s="468">
        <v>252</v>
      </c>
      <c r="T64" s="479">
        <f t="shared" si="12"/>
        <v>3168</v>
      </c>
      <c r="U64" s="493">
        <f t="shared" si="13"/>
        <v>0</v>
      </c>
      <c r="V64" s="443"/>
    </row>
    <row r="65" spans="1:22" ht="16.5" thickBot="1" x14ac:dyDescent="0.3">
      <c r="A65" s="721"/>
      <c r="B65" s="721"/>
      <c r="C65" s="143">
        <v>0.25</v>
      </c>
      <c r="D65" s="143">
        <v>0</v>
      </c>
      <c r="E65" s="116">
        <f t="shared" si="10"/>
        <v>0.5</v>
      </c>
      <c r="F65" s="463" t="s">
        <v>14</v>
      </c>
      <c r="G65" s="462">
        <v>253</v>
      </c>
      <c r="H65" s="476">
        <f>'1461'!H65</f>
        <v>6685</v>
      </c>
      <c r="I65" s="101">
        <f t="shared" si="11"/>
        <v>3342.5</v>
      </c>
      <c r="N65" s="779"/>
      <c r="O65" s="779"/>
      <c r="P65" s="774"/>
      <c r="Q65" s="774"/>
      <c r="R65" s="40" t="s">
        <v>14</v>
      </c>
      <c r="S65" s="468">
        <v>253</v>
      </c>
      <c r="T65" s="479">
        <f t="shared" si="12"/>
        <v>6685</v>
      </c>
      <c r="U65" s="494">
        <f t="shared" si="13"/>
        <v>0</v>
      </c>
      <c r="V65" s="443"/>
    </row>
    <row r="66" spans="1:22" ht="16.5" thickBot="1" x14ac:dyDescent="0.3">
      <c r="A66" s="459"/>
      <c r="C66" s="97">
        <f>SUM(C57:C65)</f>
        <v>44.34</v>
      </c>
      <c r="D66" s="97">
        <f>SUM(D57:D65)</f>
        <v>0</v>
      </c>
      <c r="E66" s="97">
        <f>SUM(E57:E65)</f>
        <v>88.68</v>
      </c>
      <c r="F66" s="708" t="s">
        <v>464</v>
      </c>
      <c r="G66" s="708"/>
      <c r="H66" s="708"/>
      <c r="I66" s="97">
        <f>SUM(I57:I65)</f>
        <v>85138.3</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479.18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2.2790000000000002E-3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471.12839999999994</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2.006E-3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479.18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2.5530000000000001E-3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479.18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2.2829999999999999E-3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479.18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2.5579999999999999E-3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2.2829999999999999E-3</v>
      </c>
      <c r="I85" s="101">
        <f>ROUND(F85*H85,2)</f>
        <v>105391.74</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2.2790000000000002E-3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2.5579999999999999E-3</v>
      </c>
      <c r="I90" s="101">
        <f>ROUND(F90*H90,2)</f>
        <v>48709.5</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2.5530000000000001E-3</v>
      </c>
      <c r="I92" s="101">
        <f t="shared" ref="I92:I96" si="14">ROUND(F92*H92,2)</f>
        <v>29209.26</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2.006E-3</v>
      </c>
      <c r="I94" s="101">
        <f t="shared" si="14"/>
        <v>513048.17</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2.006E-3</v>
      </c>
      <c r="I96" s="101">
        <f t="shared" si="14"/>
        <v>-3180.63</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2.2790000000000002E-3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471.12839999999994</v>
      </c>
      <c r="D106" s="703"/>
      <c r="E106" s="46">
        <f>H8</f>
        <v>1.0407999999999999</v>
      </c>
      <c r="F106" s="302">
        <f>'1461'!F106</f>
        <v>910.12</v>
      </c>
      <c r="G106" s="39" t="s">
        <v>12</v>
      </c>
      <c r="H106" s="94">
        <f>ROUND(C106*E106*F106,2)</f>
        <v>446277.74</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471.12839999999994</v>
      </c>
      <c r="D107" s="716"/>
      <c r="E107" s="123"/>
      <c r="F107" s="123"/>
      <c r="G107" s="123"/>
      <c r="H107" s="124" t="s">
        <v>100</v>
      </c>
      <c r="I107" s="101">
        <f>IF(A1=75,0,H106+H105+H104)</f>
        <v>446277.74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102</v>
      </c>
      <c r="D113" s="143">
        <v>141</v>
      </c>
      <c r="E113" s="116">
        <f>(C113+D113)/2</f>
        <v>121.5</v>
      </c>
      <c r="F113" s="126" t="s">
        <v>30</v>
      </c>
      <c r="G113" s="303">
        <f>'1461'!G113</f>
        <v>567</v>
      </c>
      <c r="I113" s="101">
        <f>ROUND(G113*E113,2)</f>
        <v>68890.5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3907532.9699999997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3758767.9</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3758767.9</v>
      </c>
      <c r="I135" s="94">
        <f>ROUND(IF(E30=0,0,IF(E30&gt;250,-(((250/E30)*H135)*IF(G135="H",0.02,0.05)),IF(G135="H",-0.02*H135,-0.05*H135))),2)</f>
        <v>-98052.09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3809480.88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-1351475.3199999998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2458005.56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351143.65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89886.31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CCCC"/>
  </sheetPr>
  <dimension ref="A1:V221"/>
  <sheetViews>
    <sheetView topLeftCell="A24"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124</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182.6</v>
      </c>
      <c r="D14" s="141">
        <v>0</v>
      </c>
      <c r="E14" s="187">
        <f>IF(D$30=0,C14*2,C14+D14)</f>
        <v>365.2</v>
      </c>
      <c r="F14" s="797">
        <f>'1461'!F14:G14</f>
        <v>1.1180000000000001</v>
      </c>
      <c r="G14" s="797"/>
      <c r="H14" s="145">
        <f>ROUND(E14*F14,4)</f>
        <v>408.29360000000003</v>
      </c>
      <c r="I14" s="111">
        <f>ROUND(ROUND(ROUND(H14*$C$8,4)*($H$8),2)*(MAX($H$9,1)),2)</f>
        <v>2265410.5</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28.5</v>
      </c>
      <c r="D15" s="143">
        <v>0</v>
      </c>
      <c r="E15" s="116">
        <f t="shared" ref="E15:E29" si="1">IF(D$30=0,C15*2,C15+D15)</f>
        <v>57</v>
      </c>
      <c r="F15" s="788">
        <f>'1461'!F15:G15</f>
        <v>1.1180000000000001</v>
      </c>
      <c r="G15" s="788"/>
      <c r="H15" s="80">
        <f t="shared" ref="H15:H29" si="2">ROUND(E15*F15,4)</f>
        <v>63.725999999999999</v>
      </c>
      <c r="I15" s="101">
        <f t="shared" ref="I15:I29" si="3">ROUND(ROUND(ROUND(H15*$C$8,4)*($H$8),2)*(MAX($H$9,1)),2)</f>
        <v>353582.69</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218.4</v>
      </c>
      <c r="D16" s="143">
        <v>0</v>
      </c>
      <c r="E16" s="116">
        <f t="shared" si="1"/>
        <v>436.8</v>
      </c>
      <c r="F16" s="788">
        <f>'1461'!F16:G16</f>
        <v>1</v>
      </c>
      <c r="G16" s="788"/>
      <c r="H16" s="80">
        <f t="shared" si="2"/>
        <v>436.8</v>
      </c>
      <c r="I16" s="101">
        <f t="shared" si="3"/>
        <v>2423577.7999999998</v>
      </c>
      <c r="N16" s="747" t="s">
        <v>22</v>
      </c>
      <c r="O16" s="747"/>
      <c r="P16" s="789">
        <f t="shared" si="0"/>
        <v>0</v>
      </c>
      <c r="Q16" s="789"/>
      <c r="R16" s="793">
        <v>1</v>
      </c>
      <c r="S16" s="793"/>
      <c r="T16" s="95">
        <f t="shared" si="4"/>
        <v>0</v>
      </c>
      <c r="U16" s="492">
        <f t="shared" si="5"/>
        <v>0</v>
      </c>
    </row>
    <row r="17" spans="1:21" x14ac:dyDescent="0.25">
      <c r="A17" s="705" t="s">
        <v>23</v>
      </c>
      <c r="B17" s="705"/>
      <c r="C17" s="143">
        <v>33.5</v>
      </c>
      <c r="D17" s="143">
        <v>0</v>
      </c>
      <c r="E17" s="116">
        <f t="shared" si="1"/>
        <v>67</v>
      </c>
      <c r="F17" s="788">
        <f>'1461'!F17:G17</f>
        <v>1</v>
      </c>
      <c r="G17" s="788"/>
      <c r="H17" s="80">
        <f t="shared" si="2"/>
        <v>67</v>
      </c>
      <c r="I17" s="101">
        <f t="shared" si="3"/>
        <v>371748.43</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34.4</v>
      </c>
      <c r="D26" s="143">
        <v>0</v>
      </c>
      <c r="E26" s="116">
        <f t="shared" si="1"/>
        <v>68.8</v>
      </c>
      <c r="F26" s="788">
        <f>'1461'!F26:G26</f>
        <v>1.1919999999999999</v>
      </c>
      <c r="G26" s="788"/>
      <c r="H26" s="80">
        <f t="shared" si="2"/>
        <v>82.009600000000006</v>
      </c>
      <c r="I26" s="101">
        <f t="shared" si="3"/>
        <v>455028.95</v>
      </c>
      <c r="N26" s="747" t="s">
        <v>85</v>
      </c>
      <c r="O26" s="747"/>
      <c r="P26" s="789">
        <f t="shared" si="0"/>
        <v>0</v>
      </c>
      <c r="Q26" s="789"/>
      <c r="R26" s="793">
        <v>1</v>
      </c>
      <c r="S26" s="793"/>
      <c r="T26" s="95">
        <f t="shared" si="4"/>
        <v>0</v>
      </c>
      <c r="U26" s="492">
        <f t="shared" si="5"/>
        <v>0</v>
      </c>
    </row>
    <row r="27" spans="1:21" x14ac:dyDescent="0.25">
      <c r="A27" s="705" t="s">
        <v>86</v>
      </c>
      <c r="B27" s="705"/>
      <c r="C27" s="143">
        <v>9.5399999999999991</v>
      </c>
      <c r="D27" s="143">
        <v>0</v>
      </c>
      <c r="E27" s="116">
        <f t="shared" si="1"/>
        <v>19.079999999999998</v>
      </c>
      <c r="F27" s="788">
        <f>'1461'!F27:G27</f>
        <v>1.1919999999999999</v>
      </c>
      <c r="G27" s="788"/>
      <c r="H27" s="80">
        <f t="shared" si="2"/>
        <v>22.743400000000001</v>
      </c>
      <c r="I27" s="101">
        <f t="shared" si="3"/>
        <v>126191.39</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506.94</v>
      </c>
      <c r="D30" s="94">
        <f>SUM(D14:D29)</f>
        <v>0</v>
      </c>
      <c r="E30" s="94">
        <f>SUM(E14:E29)</f>
        <v>1013.88</v>
      </c>
      <c r="F30" s="724"/>
      <c r="G30" s="724"/>
      <c r="H30" s="99">
        <f>SUM(H14:H29)</f>
        <v>1080.5726000000002</v>
      </c>
      <c r="I30" s="94">
        <f>SUM(I14:I29)</f>
        <v>5995539.7599999998</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5801835.5199999996</v>
      </c>
      <c r="G51" s="109" t="s">
        <v>6</v>
      </c>
      <c r="H51" s="420">
        <v>5.5899999999999998E-2</v>
      </c>
      <c r="I51" s="101">
        <f>ROUND(F51*H51,2)</f>
        <v>324322.61</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5801835.5199999996</v>
      </c>
      <c r="G52" s="109" t="s">
        <v>6</v>
      </c>
      <c r="H52" s="420">
        <v>1.0699999999999999E-2</v>
      </c>
      <c r="I52" s="101">
        <f>ROUND(F52*H52,2)</f>
        <v>62079.64</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386402.25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25.34</v>
      </c>
      <c r="D57" s="143">
        <v>0</v>
      </c>
      <c r="E57" s="116">
        <f t="shared" ref="E57:E65" si="10">IF(D$66=0,C57*2,C57+D57)</f>
        <v>50.68</v>
      </c>
      <c r="F57" s="462" t="s">
        <v>455</v>
      </c>
      <c r="G57" s="462">
        <v>251</v>
      </c>
      <c r="H57" s="476">
        <f>'1461'!H57</f>
        <v>1047</v>
      </c>
      <c r="I57" s="101">
        <f>ROUND(E57*H57,2)</f>
        <v>53061.96</v>
      </c>
      <c r="N57" s="778" t="s">
        <v>463</v>
      </c>
      <c r="O57" s="778"/>
      <c r="P57" s="780"/>
      <c r="Q57" s="780"/>
      <c r="R57" s="468" t="s">
        <v>455</v>
      </c>
      <c r="S57" s="468">
        <v>251</v>
      </c>
      <c r="T57" s="479">
        <f>H57</f>
        <v>1047</v>
      </c>
      <c r="U57" s="493">
        <f>ROUND(P57*T57,2)</f>
        <v>0</v>
      </c>
      <c r="V57" s="443"/>
    </row>
    <row r="58" spans="1:22" x14ac:dyDescent="0.25">
      <c r="A58" s="721"/>
      <c r="B58" s="721"/>
      <c r="C58" s="143">
        <v>3.16</v>
      </c>
      <c r="D58" s="143">
        <v>0</v>
      </c>
      <c r="E58" s="116">
        <f t="shared" si="10"/>
        <v>6.32</v>
      </c>
      <c r="F58" s="462" t="s">
        <v>455</v>
      </c>
      <c r="G58" s="462">
        <v>252</v>
      </c>
      <c r="H58" s="476">
        <f>'1461'!H58</f>
        <v>3380</v>
      </c>
      <c r="I58" s="101">
        <f t="shared" ref="I58:I65" si="11">ROUND(E58*H58,2)</f>
        <v>21361.599999999999</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29.06</v>
      </c>
      <c r="D60" s="143">
        <v>0</v>
      </c>
      <c r="E60" s="116">
        <f t="shared" si="10"/>
        <v>58.12</v>
      </c>
      <c r="F60" s="463" t="s">
        <v>13</v>
      </c>
      <c r="G60" s="462">
        <v>251</v>
      </c>
      <c r="H60" s="476">
        <f>'1461'!H60</f>
        <v>1173</v>
      </c>
      <c r="I60" s="101">
        <f t="shared" si="11"/>
        <v>68174.759999999995</v>
      </c>
      <c r="N60" s="779"/>
      <c r="O60" s="779"/>
      <c r="P60" s="773"/>
      <c r="Q60" s="773"/>
      <c r="R60" s="40" t="s">
        <v>13</v>
      </c>
      <c r="S60" s="468">
        <v>251</v>
      </c>
      <c r="T60" s="479">
        <f t="shared" si="12"/>
        <v>1173</v>
      </c>
      <c r="U60" s="493">
        <f t="shared" si="13"/>
        <v>0</v>
      </c>
      <c r="V60" s="443"/>
    </row>
    <row r="61" spans="1:22" x14ac:dyDescent="0.25">
      <c r="A61" s="721"/>
      <c r="B61" s="721"/>
      <c r="C61" s="143">
        <v>4.4400000000000004</v>
      </c>
      <c r="D61" s="143">
        <v>0</v>
      </c>
      <c r="E61" s="116">
        <f t="shared" si="10"/>
        <v>8.8800000000000008</v>
      </c>
      <c r="F61" s="463" t="s">
        <v>13</v>
      </c>
      <c r="G61" s="462">
        <v>252</v>
      </c>
      <c r="H61" s="476">
        <f>'1461'!H61</f>
        <v>3506</v>
      </c>
      <c r="I61" s="101">
        <f t="shared" si="11"/>
        <v>31133.279999999999</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62</v>
      </c>
      <c r="D66" s="97">
        <f>SUM(D57:D65)</f>
        <v>0</v>
      </c>
      <c r="E66" s="97">
        <f>SUM(E57:E65)</f>
        <v>124</v>
      </c>
      <c r="F66" s="708" t="s">
        <v>464</v>
      </c>
      <c r="G66" s="708"/>
      <c r="H66" s="708"/>
      <c r="I66" s="97">
        <f>SUM(I57:I65)</f>
        <v>173731.6</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1013.88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4.823E-3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1080.5726000000002</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4.5999999999999999E-3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1013.88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5.4029999999999998E-3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1013.88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4.8300000000000001E-3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1013.88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5.4120000000000001E-3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4.8300000000000001E-3</v>
      </c>
      <c r="I85" s="101">
        <f>ROUND(F85*H85,2)</f>
        <v>222970.69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4.823E-3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5.4120000000000001E-3</v>
      </c>
      <c r="I90" s="101">
        <f>ROUND(F90*H90,2)</f>
        <v>103055.44</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5.4029999999999998E-3</v>
      </c>
      <c r="I92" s="101">
        <f t="shared" ref="I92:I96" si="14">ROUND(F92*H92,2)</f>
        <v>61816.54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4.5999999999999999E-3</v>
      </c>
      <c r="I94" s="101">
        <f t="shared" si="14"/>
        <v>1176481.3500000001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4.5999999999999999E-3</v>
      </c>
      <c r="I96" s="101">
        <f t="shared" si="14"/>
        <v>-7293.57</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4.823E-3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554.02920000000006</v>
      </c>
      <c r="D104" s="703"/>
      <c r="E104" s="46">
        <f>H8</f>
        <v>1.0407999999999999</v>
      </c>
      <c r="F104" s="302">
        <f>'1461'!F104</f>
        <v>950.92</v>
      </c>
      <c r="G104" s="39" t="s">
        <v>12</v>
      </c>
      <c r="H104" s="101">
        <f>ROUND(C104*E104*F104,2)</f>
        <v>548332.41</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526.54340000000002</v>
      </c>
      <c r="D105" s="703"/>
      <c r="E105" s="46">
        <f>H8</f>
        <v>1.0407999999999999</v>
      </c>
      <c r="F105" s="302">
        <f>'1461'!F105</f>
        <v>907.92</v>
      </c>
      <c r="G105" s="39" t="s">
        <v>12</v>
      </c>
      <c r="H105" s="101">
        <f>ROUND(C105*E105*F105,2)</f>
        <v>497564.1</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1080.5726</v>
      </c>
      <c r="D107" s="716"/>
      <c r="E107" s="123"/>
      <c r="F107" s="123"/>
      <c r="G107" s="123"/>
      <c r="H107" s="124" t="s">
        <v>100</v>
      </c>
      <c r="I107" s="101">
        <f>IF(A1=75,0,H106+H105+H104)</f>
        <v>1045896.51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23</v>
      </c>
      <c r="D113" s="143">
        <v>22</v>
      </c>
      <c r="E113" s="116">
        <f>(C113+D113)/2</f>
        <v>22.5</v>
      </c>
      <c r="F113" s="126" t="s">
        <v>30</v>
      </c>
      <c r="G113" s="303">
        <f>'1461'!G113</f>
        <v>567</v>
      </c>
      <c r="I113" s="101">
        <f>ROUND(G113*E113,2)</f>
        <v>12757.5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8784955.8200000003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8398553.5700000003</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8398553.5700000003</v>
      </c>
      <c r="I135" s="94">
        <f>ROUND(IF(E30=0,0,IF(E30&gt;250,-(((250/E30)*H135)*IF(G135="H",0.02,0.05)),IF(G135="H",-0.02*H135,-0.05*H135))),2)</f>
        <v>-41417.89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8743537.9299999997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-3525364.6599999992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5218173.2700000005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745453.32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126553.18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21:B121"/>
    <mergeCell ref="F121:G121"/>
    <mergeCell ref="N121:O121"/>
    <mergeCell ref="P121:Q121"/>
    <mergeCell ref="R121:S121"/>
    <mergeCell ref="A122:B122"/>
    <mergeCell ref="F122:G122"/>
    <mergeCell ref="N122:O122"/>
    <mergeCell ref="R120:S120"/>
    <mergeCell ref="A117:C117"/>
    <mergeCell ref="F117:I117"/>
    <mergeCell ref="N117:U117"/>
    <mergeCell ref="C118:E118"/>
    <mergeCell ref="F119:G119"/>
    <mergeCell ref="A120:B120"/>
    <mergeCell ref="F120:G120"/>
    <mergeCell ref="N120:O120"/>
    <mergeCell ref="P120:Q12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696" t="s">
        <v>331</v>
      </c>
      <c r="C3" s="697"/>
      <c r="D3" s="204"/>
      <c r="E3" s="696" t="s">
        <v>186</v>
      </c>
      <c r="F3" s="697"/>
    </row>
    <row r="4" spans="1:6" x14ac:dyDescent="0.2">
      <c r="B4" s="207" t="s">
        <v>187</v>
      </c>
      <c r="C4" s="208" t="s">
        <v>188</v>
      </c>
      <c r="D4" s="204"/>
      <c r="E4" s="207" t="s">
        <v>187</v>
      </c>
      <c r="F4" s="208" t="s">
        <v>188</v>
      </c>
    </row>
    <row r="5" spans="1:6" x14ac:dyDescent="0.2">
      <c r="A5" s="215">
        <v>1</v>
      </c>
      <c r="B5" s="209" t="s">
        <v>537</v>
      </c>
      <c r="C5" s="211" t="s">
        <v>542</v>
      </c>
      <c r="D5" s="204"/>
      <c r="E5" s="209" t="s">
        <v>175</v>
      </c>
      <c r="F5" s="210" t="s">
        <v>189</v>
      </c>
    </row>
    <row r="6" spans="1:6" x14ac:dyDescent="0.2">
      <c r="A6" s="215">
        <v>2</v>
      </c>
      <c r="B6" s="209" t="s">
        <v>538</v>
      </c>
      <c r="C6" s="211" t="s">
        <v>543</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377</v>
      </c>
      <c r="D12" s="204"/>
      <c r="E12" s="209" t="s">
        <v>198</v>
      </c>
      <c r="F12" s="210" t="s">
        <v>347</v>
      </c>
    </row>
    <row r="13" spans="1:6" x14ac:dyDescent="0.2">
      <c r="A13" s="215">
        <v>9</v>
      </c>
      <c r="B13" s="209" t="s">
        <v>164</v>
      </c>
      <c r="C13" s="211" t="s">
        <v>196</v>
      </c>
      <c r="D13" s="204"/>
      <c r="E13" s="209" t="s">
        <v>199</v>
      </c>
      <c r="F13" s="210" t="s">
        <v>349</v>
      </c>
    </row>
    <row r="14" spans="1:6" x14ac:dyDescent="0.2">
      <c r="A14" s="215">
        <v>10</v>
      </c>
      <c r="B14" s="209" t="s">
        <v>165</v>
      </c>
      <c r="C14" s="210" t="s">
        <v>197</v>
      </c>
      <c r="D14" s="204"/>
      <c r="E14" s="209" t="s">
        <v>181</v>
      </c>
      <c r="F14" s="211" t="s">
        <v>201</v>
      </c>
    </row>
    <row r="15" spans="1:6" x14ac:dyDescent="0.2">
      <c r="A15" s="215">
        <v>11</v>
      </c>
      <c r="B15" s="209" t="s">
        <v>166</v>
      </c>
      <c r="C15" s="210" t="s">
        <v>336</v>
      </c>
      <c r="D15" s="204"/>
      <c r="E15" s="209" t="s">
        <v>169</v>
      </c>
      <c r="F15" s="211" t="s">
        <v>202</v>
      </c>
    </row>
    <row r="16" spans="1:6" x14ac:dyDescent="0.2">
      <c r="A16" s="215">
        <v>12</v>
      </c>
      <c r="B16" s="209" t="s">
        <v>167</v>
      </c>
      <c r="C16" s="212" t="s">
        <v>385</v>
      </c>
      <c r="D16" s="204"/>
      <c r="E16" s="209" t="s">
        <v>173</v>
      </c>
      <c r="F16" s="211" t="s">
        <v>203</v>
      </c>
    </row>
    <row r="17" spans="1:9" x14ac:dyDescent="0.2">
      <c r="A17" s="215">
        <v>13</v>
      </c>
      <c r="B17" s="209" t="s">
        <v>168</v>
      </c>
      <c r="C17" s="211" t="s">
        <v>200</v>
      </c>
      <c r="D17" s="204"/>
      <c r="E17" s="209" t="s">
        <v>167</v>
      </c>
      <c r="F17" s="212" t="s">
        <v>385</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338</v>
      </c>
      <c r="F21" s="214" t="s">
        <v>335</v>
      </c>
    </row>
    <row r="22" spans="1:9" x14ac:dyDescent="0.2">
      <c r="A22" s="215">
        <v>18</v>
      </c>
      <c r="B22" s="209" t="s">
        <v>173</v>
      </c>
      <c r="C22" s="211" t="s">
        <v>203</v>
      </c>
      <c r="D22" s="204"/>
      <c r="E22" s="209" t="s">
        <v>163</v>
      </c>
      <c r="F22" s="210" t="s">
        <v>377</v>
      </c>
    </row>
    <row r="23" spans="1:9" x14ac:dyDescent="0.2">
      <c r="A23" s="215">
        <v>19</v>
      </c>
      <c r="B23" s="209" t="s">
        <v>174</v>
      </c>
      <c r="C23" s="210" t="s">
        <v>195</v>
      </c>
      <c r="D23" s="204"/>
      <c r="E23" s="209" t="s">
        <v>209</v>
      </c>
      <c r="F23" s="214" t="s">
        <v>376</v>
      </c>
    </row>
    <row r="24" spans="1:9" x14ac:dyDescent="0.2">
      <c r="A24" s="215">
        <v>20</v>
      </c>
      <c r="B24" s="209" t="s">
        <v>175</v>
      </c>
      <c r="C24" s="210" t="s">
        <v>189</v>
      </c>
      <c r="D24" s="204"/>
      <c r="E24" s="209" t="s">
        <v>182</v>
      </c>
      <c r="F24" s="211" t="s">
        <v>340</v>
      </c>
    </row>
    <row r="25" spans="1:9" x14ac:dyDescent="0.2">
      <c r="A25" s="215">
        <v>21</v>
      </c>
      <c r="B25" s="209" t="s">
        <v>176</v>
      </c>
      <c r="C25" s="211" t="s">
        <v>206</v>
      </c>
      <c r="D25" s="204"/>
      <c r="E25" s="209" t="s">
        <v>537</v>
      </c>
      <c r="F25" s="211" t="s">
        <v>542</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376</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340</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342</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347</v>
      </c>
      <c r="D38" s="204"/>
      <c r="E38" s="209" t="s">
        <v>222</v>
      </c>
      <c r="F38" s="211" t="s">
        <v>223</v>
      </c>
    </row>
    <row r="39" spans="1:6" x14ac:dyDescent="0.2">
      <c r="A39" s="215">
        <v>35</v>
      </c>
      <c r="B39" s="209" t="s">
        <v>338</v>
      </c>
      <c r="C39" s="211" t="s">
        <v>335</v>
      </c>
      <c r="D39" s="204"/>
      <c r="E39" s="209" t="s">
        <v>220</v>
      </c>
      <c r="F39" s="214" t="s">
        <v>221</v>
      </c>
    </row>
    <row r="40" spans="1:6" x14ac:dyDescent="0.2">
      <c r="A40" s="215">
        <v>36</v>
      </c>
      <c r="B40" s="209">
        <v>4031</v>
      </c>
      <c r="C40" s="210" t="s">
        <v>352</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352</v>
      </c>
    </row>
    <row r="43" spans="1:6" x14ac:dyDescent="0.2">
      <c r="A43" s="215">
        <v>39</v>
      </c>
      <c r="B43" s="209" t="s">
        <v>213</v>
      </c>
      <c r="C43" s="210" t="s">
        <v>214</v>
      </c>
      <c r="D43" s="204"/>
      <c r="E43" s="213" t="s">
        <v>373</v>
      </c>
      <c r="F43" s="210" t="s">
        <v>374</v>
      </c>
    </row>
    <row r="44" spans="1:6" x14ac:dyDescent="0.2">
      <c r="A44" s="215">
        <v>40</v>
      </c>
      <c r="B44" s="209" t="s">
        <v>199</v>
      </c>
      <c r="C44" s="210" t="s">
        <v>349</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336</v>
      </c>
    </row>
    <row r="49" spans="1:6" x14ac:dyDescent="0.2">
      <c r="A49" s="215">
        <v>45</v>
      </c>
      <c r="B49" s="209" t="s">
        <v>268</v>
      </c>
      <c r="C49" s="210" t="s">
        <v>267</v>
      </c>
      <c r="D49" s="204"/>
      <c r="E49" s="209" t="s">
        <v>538</v>
      </c>
      <c r="F49" s="188" t="s">
        <v>544</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342</v>
      </c>
      <c r="D52" s="204"/>
      <c r="E52" s="209" t="s">
        <v>164</v>
      </c>
      <c r="F52" s="211" t="s">
        <v>196</v>
      </c>
    </row>
    <row r="53" spans="1:6" x14ac:dyDescent="0.2">
      <c r="A53" s="215">
        <v>49</v>
      </c>
      <c r="B53" s="209" t="s">
        <v>373</v>
      </c>
      <c r="C53" s="210" t="s">
        <v>374</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5:F24 E26:F48 E50:F53">
    <cfRule type="expression" dxfId="2" priority="3">
      <formula>MOD(ROW(),2)=0</formula>
    </cfRule>
  </conditionalFormatting>
  <conditionalFormatting sqref="E25:F25">
    <cfRule type="expression" dxfId="1" priority="2" stopIfTrue="1">
      <formula>MOD(ROW(),2)=0</formula>
    </cfRule>
  </conditionalFormatting>
  <conditionalFormatting sqref="E49">
    <cfRule type="expression" dxfId="0" priority="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CCCC"/>
  </sheetPr>
  <dimension ref="A1:V221"/>
  <sheetViews>
    <sheetView topLeftCell="A28" workbookViewId="0">
      <selection activeCell="F58" sqref="F5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285" t="s">
        <v>125</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J11" s="255"/>
      <c r="K11" s="254"/>
      <c r="L11" s="254"/>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J12" s="253"/>
      <c r="K12" s="254"/>
      <c r="L12" s="254"/>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K13" s="254"/>
      <c r="L13" s="254"/>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226.6</v>
      </c>
      <c r="D16" s="143">
        <v>0</v>
      </c>
      <c r="E16" s="116">
        <f t="shared" si="1"/>
        <v>453.2</v>
      </c>
      <c r="F16" s="788">
        <f>'1461'!F16:G16</f>
        <v>1</v>
      </c>
      <c r="G16" s="788"/>
      <c r="H16" s="80">
        <f t="shared" si="2"/>
        <v>453.2</v>
      </c>
      <c r="I16" s="101">
        <f t="shared" si="3"/>
        <v>2514572.94</v>
      </c>
      <c r="N16" s="747" t="s">
        <v>22</v>
      </c>
      <c r="O16" s="747"/>
      <c r="P16" s="789">
        <f t="shared" si="0"/>
        <v>0</v>
      </c>
      <c r="Q16" s="789"/>
      <c r="R16" s="793">
        <v>1</v>
      </c>
      <c r="S16" s="793"/>
      <c r="T16" s="95">
        <f t="shared" si="4"/>
        <v>0</v>
      </c>
      <c r="U16" s="492">
        <f t="shared" si="5"/>
        <v>0</v>
      </c>
    </row>
    <row r="17" spans="1:21" x14ac:dyDescent="0.25">
      <c r="A17" s="705" t="s">
        <v>23</v>
      </c>
      <c r="B17" s="705"/>
      <c r="C17" s="143">
        <v>29</v>
      </c>
      <c r="D17" s="143">
        <v>0</v>
      </c>
      <c r="E17" s="116">
        <f t="shared" si="1"/>
        <v>58</v>
      </c>
      <c r="F17" s="788">
        <f>'1461'!F17:G17</f>
        <v>1</v>
      </c>
      <c r="G17" s="788"/>
      <c r="H17" s="80">
        <f t="shared" si="2"/>
        <v>58</v>
      </c>
      <c r="I17" s="101">
        <f t="shared" si="3"/>
        <v>321812.07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8.1999999999999993</v>
      </c>
      <c r="D27" s="143">
        <v>0</v>
      </c>
      <c r="E27" s="116">
        <f t="shared" si="1"/>
        <v>16.399999999999999</v>
      </c>
      <c r="F27" s="788">
        <f>'1461'!F27:G27</f>
        <v>1.1919999999999999</v>
      </c>
      <c r="G27" s="788"/>
      <c r="H27" s="80">
        <f t="shared" si="2"/>
        <v>19.5488</v>
      </c>
      <c r="I27" s="101">
        <f t="shared" si="3"/>
        <v>108466.2</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263.8</v>
      </c>
      <c r="D30" s="94">
        <f>SUM(D14:D29)</f>
        <v>0</v>
      </c>
      <c r="E30" s="94">
        <f>SUM(E14:E29)</f>
        <v>527.6</v>
      </c>
      <c r="F30" s="724"/>
      <c r="G30" s="724"/>
      <c r="H30" s="99">
        <f>SUM(H14:H29)</f>
        <v>530.74879999999996</v>
      </c>
      <c r="I30" s="94">
        <f>SUM(I14:I29)</f>
        <v>2944851.21</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2916219.92</v>
      </c>
      <c r="G51" s="109" t="s">
        <v>6</v>
      </c>
      <c r="H51" s="420">
        <v>5.5899999999999998E-2</v>
      </c>
      <c r="I51" s="101">
        <f>ROUND(F51*H51,2)</f>
        <v>163016.69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2916219.92</v>
      </c>
      <c r="G52" s="109" t="s">
        <v>6</v>
      </c>
      <c r="H52" s="420">
        <v>1.0699999999999999E-2</v>
      </c>
      <c r="I52" s="101">
        <f>ROUND(F52*H52,2)</f>
        <v>31203.55</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194220.24</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28.58</v>
      </c>
      <c r="D60" s="143">
        <v>0</v>
      </c>
      <c r="E60" s="116">
        <f t="shared" si="10"/>
        <v>57.16</v>
      </c>
      <c r="F60" s="463" t="s">
        <v>13</v>
      </c>
      <c r="G60" s="462">
        <v>251</v>
      </c>
      <c r="H60" s="476">
        <f>'1461'!H60</f>
        <v>1173</v>
      </c>
      <c r="I60" s="101">
        <f t="shared" si="11"/>
        <v>67048.679999999993</v>
      </c>
      <c r="N60" s="779"/>
      <c r="O60" s="779"/>
      <c r="P60" s="773"/>
      <c r="Q60" s="773"/>
      <c r="R60" s="40" t="s">
        <v>13</v>
      </c>
      <c r="S60" s="468">
        <v>251</v>
      </c>
      <c r="T60" s="479">
        <f t="shared" si="12"/>
        <v>1173</v>
      </c>
      <c r="U60" s="493">
        <f t="shared" si="13"/>
        <v>0</v>
      </c>
      <c r="V60" s="443"/>
    </row>
    <row r="61" spans="1:22" x14ac:dyDescent="0.25">
      <c r="A61" s="721"/>
      <c r="B61" s="721"/>
      <c r="C61" s="143">
        <v>0.42</v>
      </c>
      <c r="D61" s="143">
        <v>0</v>
      </c>
      <c r="E61" s="116">
        <f t="shared" si="10"/>
        <v>0.84</v>
      </c>
      <c r="F61" s="463" t="s">
        <v>13</v>
      </c>
      <c r="G61" s="462">
        <v>252</v>
      </c>
      <c r="H61" s="476">
        <f>'1461'!H61</f>
        <v>3506</v>
      </c>
      <c r="I61" s="101">
        <f t="shared" si="11"/>
        <v>2945.04</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29</v>
      </c>
      <c r="D66" s="97">
        <f>SUM(D57:D65)</f>
        <v>0</v>
      </c>
      <c r="E66" s="97">
        <f>SUM(E57:E65)</f>
        <v>58</v>
      </c>
      <c r="F66" s="708" t="s">
        <v>464</v>
      </c>
      <c r="G66" s="708"/>
      <c r="H66" s="708"/>
      <c r="I66" s="97">
        <f>SUM(I57:I65)</f>
        <v>69993.719999999987</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527.6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2.5100000000000001E-3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530.74879999999996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2.2599999999999999E-3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527.6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2.8110000000000001E-3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527.6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2.5140000000000002E-3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527.6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2.8159999999999999E-3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2.5140000000000002E-3</v>
      </c>
      <c r="I85" s="101">
        <f>ROUND(F85*H85,2)</f>
        <v>116055.55</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2.5100000000000001E-3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2.8159999999999999E-3</v>
      </c>
      <c r="I90" s="101">
        <f>ROUND(F90*H90,2)</f>
        <v>53622.35</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2.8110000000000001E-3</v>
      </c>
      <c r="I92" s="101">
        <f t="shared" ref="I92:I96" si="14">ROUND(F92*H92,2)</f>
        <v>32161.08</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2.2599999999999999E-3</v>
      </c>
      <c r="I94" s="101">
        <f t="shared" si="14"/>
        <v>578010.4</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2.2599999999999999E-3</v>
      </c>
      <c r="I96" s="101">
        <f t="shared" si="14"/>
        <v>-3583.36</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2.5100000000000001E-3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530.74879999999996</v>
      </c>
      <c r="D105" s="703"/>
      <c r="E105" s="46">
        <f>H8</f>
        <v>1.0407999999999999</v>
      </c>
      <c r="F105" s="302">
        <f>'1461'!F105</f>
        <v>907.92</v>
      </c>
      <c r="G105" s="39" t="s">
        <v>12</v>
      </c>
      <c r="H105" s="101">
        <f>ROUND(C105*E105*F105,2)</f>
        <v>501538.05</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530.74879999999996</v>
      </c>
      <c r="D107" s="716"/>
      <c r="E107" s="123"/>
      <c r="F107" s="123"/>
      <c r="G107" s="123"/>
      <c r="H107" s="124" t="s">
        <v>100</v>
      </c>
      <c r="I107" s="101">
        <f>IF(A1=75,0,H106+H105+H104)</f>
        <v>501538.05</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345</v>
      </c>
      <c r="D113" s="143">
        <v>343</v>
      </c>
      <c r="E113" s="116">
        <f>(C113+D113)/2</f>
        <v>344</v>
      </c>
      <c r="F113" s="126" t="s">
        <v>30</v>
      </c>
      <c r="G113" s="303">
        <f>'1461'!G113</f>
        <v>567</v>
      </c>
      <c r="I113" s="101">
        <f>ROUND(G113*E113,2)</f>
        <v>195048</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4487697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4293476.76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4293476.76</v>
      </c>
      <c r="I135" s="94">
        <f>ROUND(IF(E30=0,0,IF(E30&gt;250,-(((250/E30)*H135)*IF(G135="H",0.02,0.05)),IF(G135="H",-0.02*H135,-0.05*H135))),2)</f>
        <v>-101721.87</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4385975.13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-1815740.19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2570234.94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367176.42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112951.97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383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95.72</v>
      </c>
      <c r="D16" s="143">
        <v>0</v>
      </c>
      <c r="E16" s="116">
        <f t="shared" si="1"/>
        <v>191.44</v>
      </c>
      <c r="F16" s="788">
        <f>'1461'!F16:G16</f>
        <v>1</v>
      </c>
      <c r="G16" s="788"/>
      <c r="H16" s="80">
        <f t="shared" si="2"/>
        <v>191.44</v>
      </c>
      <c r="I16" s="101">
        <f t="shared" si="3"/>
        <v>1062201.77</v>
      </c>
      <c r="N16" s="747" t="s">
        <v>22</v>
      </c>
      <c r="O16" s="747"/>
      <c r="P16" s="789">
        <f t="shared" si="0"/>
        <v>0</v>
      </c>
      <c r="Q16" s="789"/>
      <c r="R16" s="793">
        <v>1</v>
      </c>
      <c r="S16" s="793"/>
      <c r="T16" s="95">
        <f t="shared" si="4"/>
        <v>0</v>
      </c>
      <c r="U16" s="492">
        <f t="shared" si="5"/>
        <v>0</v>
      </c>
    </row>
    <row r="17" spans="1:21" x14ac:dyDescent="0.25">
      <c r="A17" s="705" t="s">
        <v>23</v>
      </c>
      <c r="B17" s="705"/>
      <c r="C17" s="143">
        <v>21.5</v>
      </c>
      <c r="D17" s="143">
        <v>0</v>
      </c>
      <c r="E17" s="116">
        <f t="shared" si="1"/>
        <v>43</v>
      </c>
      <c r="F17" s="788">
        <f>'1461'!F17:G17</f>
        <v>1</v>
      </c>
      <c r="G17" s="788"/>
      <c r="H17" s="80">
        <f t="shared" si="2"/>
        <v>43</v>
      </c>
      <c r="I17" s="101">
        <f t="shared" si="3"/>
        <v>238584.81</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60.97</v>
      </c>
      <c r="D18" s="143">
        <v>0</v>
      </c>
      <c r="E18" s="116">
        <f t="shared" si="1"/>
        <v>121.94</v>
      </c>
      <c r="F18" s="788">
        <f>'1461'!F18:G18</f>
        <v>0.97799999999999998</v>
      </c>
      <c r="G18" s="788"/>
      <c r="H18" s="80">
        <f t="shared" si="2"/>
        <v>119.2573</v>
      </c>
      <c r="I18" s="101">
        <f t="shared" si="3"/>
        <v>661697.22</v>
      </c>
      <c r="N18" s="747" t="s">
        <v>24</v>
      </c>
      <c r="O18" s="747"/>
      <c r="P18" s="789">
        <f t="shared" si="0"/>
        <v>0</v>
      </c>
      <c r="Q18" s="789"/>
      <c r="R18" s="793">
        <v>1</v>
      </c>
      <c r="S18" s="793"/>
      <c r="T18" s="95">
        <f t="shared" si="4"/>
        <v>0</v>
      </c>
      <c r="U18" s="492">
        <f t="shared" si="5"/>
        <v>0</v>
      </c>
    </row>
    <row r="19" spans="1:21" x14ac:dyDescent="0.25">
      <c r="A19" s="705" t="s">
        <v>25</v>
      </c>
      <c r="B19" s="705"/>
      <c r="C19" s="143">
        <v>12</v>
      </c>
      <c r="D19" s="143">
        <v>0</v>
      </c>
      <c r="E19" s="116">
        <f t="shared" si="1"/>
        <v>24</v>
      </c>
      <c r="F19" s="788">
        <f>'1461'!F19:G19</f>
        <v>0.97799999999999998</v>
      </c>
      <c r="G19" s="788"/>
      <c r="H19" s="80">
        <f t="shared" si="2"/>
        <v>23.472000000000001</v>
      </c>
      <c r="I19" s="101">
        <f t="shared" si="3"/>
        <v>130234.02</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18.28</v>
      </c>
      <c r="D27" s="143">
        <v>0</v>
      </c>
      <c r="E27" s="116">
        <f t="shared" si="1"/>
        <v>36.56</v>
      </c>
      <c r="F27" s="788">
        <f>'1461'!F27:G27</f>
        <v>1.1919999999999999</v>
      </c>
      <c r="G27" s="788"/>
      <c r="H27" s="80">
        <f t="shared" si="2"/>
        <v>43.579500000000003</v>
      </c>
      <c r="I27" s="101">
        <f t="shared" si="3"/>
        <v>241800.16</v>
      </c>
      <c r="N27" s="747" t="s">
        <v>86</v>
      </c>
      <c r="O27" s="747"/>
      <c r="P27" s="789">
        <f t="shared" si="0"/>
        <v>0</v>
      </c>
      <c r="Q27" s="789"/>
      <c r="R27" s="793">
        <v>1</v>
      </c>
      <c r="S27" s="793"/>
      <c r="T27" s="95">
        <f t="shared" si="4"/>
        <v>0</v>
      </c>
      <c r="U27" s="492">
        <f t="shared" si="5"/>
        <v>0</v>
      </c>
    </row>
    <row r="28" spans="1:21" x14ac:dyDescent="0.25">
      <c r="A28" s="705" t="s">
        <v>87</v>
      </c>
      <c r="B28" s="705"/>
      <c r="C28" s="143">
        <v>7.92</v>
      </c>
      <c r="D28" s="143">
        <v>0</v>
      </c>
      <c r="E28" s="116">
        <f t="shared" si="1"/>
        <v>15.84</v>
      </c>
      <c r="F28" s="788">
        <f>'1461'!F28:G28</f>
        <v>1.1919999999999999</v>
      </c>
      <c r="G28" s="788"/>
      <c r="H28" s="80">
        <f t="shared" si="2"/>
        <v>18.8813</v>
      </c>
      <c r="I28" s="101">
        <f t="shared" si="3"/>
        <v>104762.59</v>
      </c>
      <c r="N28" s="747" t="s">
        <v>87</v>
      </c>
      <c r="O28" s="747"/>
      <c r="P28" s="789">
        <f t="shared" si="0"/>
        <v>0</v>
      </c>
      <c r="Q28" s="789"/>
      <c r="R28" s="793">
        <v>1</v>
      </c>
      <c r="S28" s="793"/>
      <c r="T28" s="95">
        <f t="shared" si="4"/>
        <v>0</v>
      </c>
      <c r="U28" s="492">
        <f t="shared" si="5"/>
        <v>0</v>
      </c>
    </row>
    <row r="29" spans="1:21" x14ac:dyDescent="0.25">
      <c r="A29" s="705" t="s">
        <v>88</v>
      </c>
      <c r="B29" s="705"/>
      <c r="C29" s="110">
        <v>2.2200000000000002</v>
      </c>
      <c r="D29" s="110">
        <v>0</v>
      </c>
      <c r="E29" s="154">
        <f t="shared" si="1"/>
        <v>4.4400000000000004</v>
      </c>
      <c r="F29" s="788">
        <f>'1461'!F29:G29</f>
        <v>1.079</v>
      </c>
      <c r="G29" s="788"/>
      <c r="H29" s="93">
        <f t="shared" si="2"/>
        <v>4.7907999999999999</v>
      </c>
      <c r="I29" s="94">
        <f t="shared" si="3"/>
        <v>26581.68</v>
      </c>
      <c r="N29" s="748" t="s">
        <v>88</v>
      </c>
      <c r="O29" s="748"/>
      <c r="P29" s="789">
        <f t="shared" si="0"/>
        <v>0</v>
      </c>
      <c r="Q29" s="789"/>
      <c r="R29" s="790">
        <v>1</v>
      </c>
      <c r="S29" s="790"/>
      <c r="T29" s="95">
        <f t="shared" si="4"/>
        <v>0</v>
      </c>
      <c r="U29" s="492">
        <f t="shared" si="5"/>
        <v>0</v>
      </c>
    </row>
    <row r="30" spans="1:21" x14ac:dyDescent="0.25">
      <c r="A30" s="708" t="s">
        <v>5</v>
      </c>
      <c r="B30" s="708"/>
      <c r="C30" s="94">
        <f>SUM(C14:C29)</f>
        <v>218.60999999999999</v>
      </c>
      <c r="D30" s="94">
        <f>SUM(D14:D29)</f>
        <v>0</v>
      </c>
      <c r="E30" s="94">
        <f>SUM(E14:E29)</f>
        <v>437.21999999999997</v>
      </c>
      <c r="F30" s="724"/>
      <c r="G30" s="724"/>
      <c r="H30" s="99">
        <f>SUM(H14:H29)</f>
        <v>444.42089999999996</v>
      </c>
      <c r="I30" s="94">
        <f>SUM(I14:I29)</f>
        <v>2465862.25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2608794.5100000002</v>
      </c>
      <c r="G51" s="109" t="s">
        <v>6</v>
      </c>
      <c r="H51" s="420">
        <v>5.5899999999999998E-2</v>
      </c>
      <c r="I51" s="101">
        <f>ROUND(F51*H51,2)</f>
        <v>145831.60999999999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2608794.5100000002</v>
      </c>
      <c r="G52" s="109" t="s">
        <v>6</v>
      </c>
      <c r="H52" s="420">
        <v>1.0699999999999999E-2</v>
      </c>
      <c r="I52" s="101">
        <f>ROUND(F52*H52,2)</f>
        <v>27914.1</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173745.71</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20.18</v>
      </c>
      <c r="D60" s="143">
        <v>0</v>
      </c>
      <c r="E60" s="116">
        <f t="shared" si="10"/>
        <v>40.36</v>
      </c>
      <c r="F60" s="463" t="s">
        <v>13</v>
      </c>
      <c r="G60" s="462">
        <v>251</v>
      </c>
      <c r="H60" s="476">
        <f>'1461'!H60</f>
        <v>1173</v>
      </c>
      <c r="I60" s="101">
        <f t="shared" si="11"/>
        <v>47342.28</v>
      </c>
      <c r="N60" s="779"/>
      <c r="O60" s="779"/>
      <c r="P60" s="773"/>
      <c r="Q60" s="773"/>
      <c r="R60" s="40" t="s">
        <v>13</v>
      </c>
      <c r="S60" s="468">
        <v>251</v>
      </c>
      <c r="T60" s="479">
        <f t="shared" si="12"/>
        <v>1173</v>
      </c>
      <c r="U60" s="493">
        <f t="shared" si="13"/>
        <v>0</v>
      </c>
      <c r="V60" s="443"/>
    </row>
    <row r="61" spans="1:22" x14ac:dyDescent="0.25">
      <c r="A61" s="721"/>
      <c r="B61" s="721"/>
      <c r="C61" s="143">
        <v>1.32</v>
      </c>
      <c r="D61" s="143">
        <v>0</v>
      </c>
      <c r="E61" s="116">
        <f t="shared" si="10"/>
        <v>2.64</v>
      </c>
      <c r="F61" s="463" t="s">
        <v>13</v>
      </c>
      <c r="G61" s="462">
        <v>252</v>
      </c>
      <c r="H61" s="476">
        <f>'1461'!H61</f>
        <v>3506</v>
      </c>
      <c r="I61" s="101">
        <f t="shared" si="11"/>
        <v>9255.84</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10.96</v>
      </c>
      <c r="D63" s="143">
        <v>0</v>
      </c>
      <c r="E63" s="116">
        <f t="shared" si="10"/>
        <v>21.92</v>
      </c>
      <c r="F63" s="463" t="s">
        <v>14</v>
      </c>
      <c r="G63" s="462">
        <v>251</v>
      </c>
      <c r="H63" s="476">
        <f>'1461'!H63</f>
        <v>835</v>
      </c>
      <c r="I63" s="101">
        <f t="shared" si="11"/>
        <v>18303.2</v>
      </c>
      <c r="N63" s="779"/>
      <c r="O63" s="779"/>
      <c r="P63" s="773"/>
      <c r="Q63" s="773"/>
      <c r="R63" s="40" t="s">
        <v>14</v>
      </c>
      <c r="S63" s="468">
        <v>251</v>
      </c>
      <c r="T63" s="479">
        <f t="shared" si="12"/>
        <v>835</v>
      </c>
      <c r="U63" s="493">
        <f t="shared" si="13"/>
        <v>0</v>
      </c>
      <c r="V63" s="443"/>
    </row>
    <row r="64" spans="1:22" x14ac:dyDescent="0.25">
      <c r="A64" s="721"/>
      <c r="B64" s="721"/>
      <c r="C64" s="143">
        <v>1.04</v>
      </c>
      <c r="D64" s="143">
        <v>0</v>
      </c>
      <c r="E64" s="116">
        <f t="shared" si="10"/>
        <v>2.08</v>
      </c>
      <c r="F64" s="463" t="s">
        <v>14</v>
      </c>
      <c r="G64" s="462">
        <v>252</v>
      </c>
      <c r="H64" s="476">
        <f>'1461'!H64</f>
        <v>3168</v>
      </c>
      <c r="I64" s="101">
        <f t="shared" si="11"/>
        <v>6589.44</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33.5</v>
      </c>
      <c r="D66" s="97">
        <f>SUM(D57:D65)</f>
        <v>0</v>
      </c>
      <c r="E66" s="97">
        <f>SUM(E57:E65)</f>
        <v>67</v>
      </c>
      <c r="F66" s="708" t="s">
        <v>464</v>
      </c>
      <c r="G66" s="708"/>
      <c r="H66" s="708"/>
      <c r="I66" s="97">
        <f>SUM(I57:I65)</f>
        <v>81490.759999999995</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437.21999999999997</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2.0799999999999998E-3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444.42089999999996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1.892E-3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437.21999999999997</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2.33E-3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437.21999999999997</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2.0830000000000002E-3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437.21999999999997</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2.3340000000000001E-3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2.0830000000000002E-3</v>
      </c>
      <c r="I85" s="101">
        <f>ROUND(F85*H85,2)</f>
        <v>96159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2.0799999999999998E-3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2.3340000000000001E-3</v>
      </c>
      <c r="I90" s="101">
        <f>ROUND(F90*H90,2)</f>
        <v>44444.09</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2.33E-3</v>
      </c>
      <c r="I92" s="101">
        <f t="shared" ref="I92:I96" si="14">ROUND(F92*H92,2)</f>
        <v>26657.88</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1.892E-3</v>
      </c>
      <c r="I94" s="101">
        <f t="shared" si="14"/>
        <v>483891.9</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1.892E-3</v>
      </c>
      <c r="I96" s="101">
        <f t="shared" si="14"/>
        <v>-2999.88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2.0799999999999998E-3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278.01949999999999</v>
      </c>
      <c r="D105" s="703"/>
      <c r="E105" s="46">
        <f>H8</f>
        <v>1.0407999999999999</v>
      </c>
      <c r="F105" s="302">
        <f>'1461'!F105</f>
        <v>907.92</v>
      </c>
      <c r="G105" s="39" t="s">
        <v>12</v>
      </c>
      <c r="H105" s="101">
        <f>ROUND(C105*E105*F105,2)</f>
        <v>262718.18</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166.4014</v>
      </c>
      <c r="D106" s="703"/>
      <c r="E106" s="46">
        <f>H8</f>
        <v>1.0407999999999999</v>
      </c>
      <c r="F106" s="302">
        <f>'1461'!F106</f>
        <v>910.12</v>
      </c>
      <c r="G106" s="39" t="s">
        <v>12</v>
      </c>
      <c r="H106" s="94">
        <f>ROUND(C106*E106*F106,2)</f>
        <v>157624.21</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444.42089999999996</v>
      </c>
      <c r="D107" s="716"/>
      <c r="E107" s="123"/>
      <c r="F107" s="123"/>
      <c r="G107" s="123"/>
      <c r="H107" s="124" t="s">
        <v>100</v>
      </c>
      <c r="I107" s="101">
        <f>IF(A1=75,0,H106+H105+H104)</f>
        <v>420342.39</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258</v>
      </c>
      <c r="D113" s="143">
        <v>243</v>
      </c>
      <c r="E113" s="116">
        <f>(C113+D113)/2</f>
        <v>250.5</v>
      </c>
      <c r="F113" s="126" t="s">
        <v>30</v>
      </c>
      <c r="G113" s="303">
        <f>'1461'!G113</f>
        <v>567</v>
      </c>
      <c r="I113" s="101">
        <f>ROUND(G113*E113,2)</f>
        <v>142033.5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3757881.8899999997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3584136.1799999997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3584136.1799999997</v>
      </c>
      <c r="I135" s="94">
        <f>ROUND(IF(E30=0,0,IF(E30&gt;250,-(((250/E30)*H135)*IF(G135="H",0.02,0.05)),IF(G135="H",-0.02*H135,-0.05*H135))),2)</f>
        <v>-102469.47</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3655412.4199999995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-1609735.58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2045676.8399999994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292239.55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76737.34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v>637300</v>
      </c>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FFCCCC"/>
  </sheetPr>
  <dimension ref="A1:V221"/>
  <sheetViews>
    <sheetView topLeftCell="A27" workbookViewId="0">
      <selection activeCell="C28" sqref="C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126</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60.82</v>
      </c>
      <c r="D14" s="141">
        <v>0</v>
      </c>
      <c r="E14" s="187">
        <f>IF(D$30=0,C14*2,C14+D14)</f>
        <v>121.64</v>
      </c>
      <c r="F14" s="797">
        <f>'1461'!F14:G14</f>
        <v>1.1180000000000001</v>
      </c>
      <c r="G14" s="797"/>
      <c r="H14" s="145">
        <f>ROUND(E14*F14,4)</f>
        <v>135.99350000000001</v>
      </c>
      <c r="I14" s="111">
        <f>ROUND(ROUND(ROUND(H14*$C$8,4)*($H$8),2)*(MAX($H$9,1)),2)</f>
        <v>754557.76</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9</v>
      </c>
      <c r="D15" s="143">
        <v>0</v>
      </c>
      <c r="E15" s="116">
        <f t="shared" ref="E15:E29" si="1">IF(D$30=0,C15*2,C15+D15)</f>
        <v>18</v>
      </c>
      <c r="F15" s="788">
        <f>'1461'!F15:G15</f>
        <v>1.1180000000000001</v>
      </c>
      <c r="G15" s="788"/>
      <c r="H15" s="80">
        <f t="shared" ref="H15:H29" si="2">ROUND(E15*F15,4)</f>
        <v>20.123999999999999</v>
      </c>
      <c r="I15" s="101">
        <f t="shared" ref="I15:I29" si="3">ROUND(ROUND(ROUND(H15*$C$8,4)*($H$8),2)*(MAX($H$9,1)),2)</f>
        <v>111657.69</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24.59</v>
      </c>
      <c r="D16" s="143">
        <v>0</v>
      </c>
      <c r="E16" s="116">
        <f t="shared" si="1"/>
        <v>49.18</v>
      </c>
      <c r="F16" s="788">
        <f>'1461'!F16:G16</f>
        <v>1</v>
      </c>
      <c r="G16" s="788"/>
      <c r="H16" s="80">
        <f t="shared" si="2"/>
        <v>49.18</v>
      </c>
      <c r="I16" s="101">
        <f t="shared" si="3"/>
        <v>272874.44</v>
      </c>
      <c r="N16" s="747" t="s">
        <v>22</v>
      </c>
      <c r="O16" s="747"/>
      <c r="P16" s="789">
        <f t="shared" si="0"/>
        <v>0</v>
      </c>
      <c r="Q16" s="789"/>
      <c r="R16" s="793">
        <v>1</v>
      </c>
      <c r="S16" s="793"/>
      <c r="T16" s="95">
        <f t="shared" si="4"/>
        <v>0</v>
      </c>
      <c r="U16" s="492">
        <f t="shared" si="5"/>
        <v>0</v>
      </c>
    </row>
    <row r="17" spans="1:21" x14ac:dyDescent="0.25">
      <c r="A17" s="705" t="s">
        <v>23</v>
      </c>
      <c r="B17" s="705"/>
      <c r="C17" s="143">
        <v>7.5</v>
      </c>
      <c r="D17" s="143">
        <v>0</v>
      </c>
      <c r="E17" s="116">
        <f t="shared" si="1"/>
        <v>15</v>
      </c>
      <c r="F17" s="788">
        <f>'1461'!F17:G17</f>
        <v>1</v>
      </c>
      <c r="G17" s="788"/>
      <c r="H17" s="80">
        <f t="shared" si="2"/>
        <v>15</v>
      </c>
      <c r="I17" s="101">
        <f t="shared" si="3"/>
        <v>83227.259999999995</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9.18</v>
      </c>
      <c r="D26" s="143">
        <v>0</v>
      </c>
      <c r="E26" s="116">
        <f t="shared" si="1"/>
        <v>18.36</v>
      </c>
      <c r="F26" s="788">
        <f>'1461'!F26:G26</f>
        <v>1.1919999999999999</v>
      </c>
      <c r="G26" s="788"/>
      <c r="H26" s="80">
        <f t="shared" si="2"/>
        <v>21.885100000000001</v>
      </c>
      <c r="I26" s="101">
        <f t="shared" si="3"/>
        <v>121429.13</v>
      </c>
      <c r="N26" s="747" t="s">
        <v>85</v>
      </c>
      <c r="O26" s="747"/>
      <c r="P26" s="789">
        <f t="shared" si="0"/>
        <v>0</v>
      </c>
      <c r="Q26" s="789"/>
      <c r="R26" s="793">
        <v>1</v>
      </c>
      <c r="S26" s="793"/>
      <c r="T26" s="95">
        <f t="shared" si="4"/>
        <v>0</v>
      </c>
      <c r="U26" s="492">
        <f t="shared" si="5"/>
        <v>0</v>
      </c>
    </row>
    <row r="27" spans="1:21" x14ac:dyDescent="0.25">
      <c r="A27" s="705" t="s">
        <v>86</v>
      </c>
      <c r="B27" s="705"/>
      <c r="C27" s="143">
        <v>3.41</v>
      </c>
      <c r="D27" s="143">
        <v>0</v>
      </c>
      <c r="E27" s="116">
        <f t="shared" si="1"/>
        <v>6.82</v>
      </c>
      <c r="F27" s="788">
        <f>'1461'!F27:G27</f>
        <v>1.1919999999999999</v>
      </c>
      <c r="G27" s="788"/>
      <c r="H27" s="80">
        <f t="shared" si="2"/>
        <v>8.1294000000000004</v>
      </c>
      <c r="I27" s="101">
        <f t="shared" si="3"/>
        <v>45105.85</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114.5</v>
      </c>
      <c r="D30" s="94">
        <f>SUM(D14:D29)</f>
        <v>0</v>
      </c>
      <c r="E30" s="94">
        <f>SUM(E14:E29)</f>
        <v>229</v>
      </c>
      <c r="F30" s="724"/>
      <c r="G30" s="724"/>
      <c r="H30" s="99">
        <f>SUM(H14:H29)</f>
        <v>250.31200000000001</v>
      </c>
      <c r="I30" s="94">
        <f>SUM(I14:I29)</f>
        <v>1388852.13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3" t="s">
        <v>528</v>
      </c>
      <c r="C51" s="26"/>
      <c r="D51" s="26"/>
      <c r="E51" s="43" t="s">
        <v>417</v>
      </c>
      <c r="F51" s="419">
        <v>1518512.98</v>
      </c>
      <c r="G51" s="109" t="s">
        <v>6</v>
      </c>
      <c r="H51" s="420">
        <v>5.5899999999999998E-2</v>
      </c>
      <c r="I51" s="101">
        <f>ROUND(F51*H51,2)</f>
        <v>84884.88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1518512.98</v>
      </c>
      <c r="G52" s="109" t="s">
        <v>6</v>
      </c>
      <c r="H52" s="420">
        <v>1.0699999999999999E-2</v>
      </c>
      <c r="I52" s="101">
        <f>ROUND(F52*H52,2)</f>
        <v>16248.09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101132.97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6.73</v>
      </c>
      <c r="D57" s="143">
        <v>0</v>
      </c>
      <c r="E57" s="116">
        <f t="shared" ref="E57:E65" si="10">IF(D$66=0,C57*2,C57+D57)</f>
        <v>13.46</v>
      </c>
      <c r="F57" s="462" t="s">
        <v>455</v>
      </c>
      <c r="G57" s="462">
        <v>251</v>
      </c>
      <c r="H57" s="476">
        <f>'1461'!H57</f>
        <v>1047</v>
      </c>
      <c r="I57" s="101">
        <f>ROUND(E57*H57,2)</f>
        <v>14092.62</v>
      </c>
      <c r="N57" s="778" t="s">
        <v>463</v>
      </c>
      <c r="O57" s="778"/>
      <c r="P57" s="780"/>
      <c r="Q57" s="780"/>
      <c r="R57" s="468" t="s">
        <v>455</v>
      </c>
      <c r="S57" s="468">
        <v>251</v>
      </c>
      <c r="T57" s="479">
        <f>H57</f>
        <v>1047</v>
      </c>
      <c r="U57" s="493">
        <f>ROUND(P57*T57,2)</f>
        <v>0</v>
      </c>
      <c r="V57" s="443"/>
    </row>
    <row r="58" spans="1:22" x14ac:dyDescent="0.25">
      <c r="A58" s="721"/>
      <c r="B58" s="721"/>
      <c r="C58" s="143">
        <v>2.27</v>
      </c>
      <c r="D58" s="143">
        <v>0</v>
      </c>
      <c r="E58" s="116">
        <f t="shared" si="10"/>
        <v>4.54</v>
      </c>
      <c r="F58" s="462" t="s">
        <v>455</v>
      </c>
      <c r="G58" s="462">
        <v>252</v>
      </c>
      <c r="H58" s="476">
        <f>'1461'!H58</f>
        <v>3380</v>
      </c>
      <c r="I58" s="101">
        <f t="shared" ref="I58:I65" si="11">ROUND(E58*H58,2)</f>
        <v>15345.2</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6.22</v>
      </c>
      <c r="D60" s="143">
        <v>0</v>
      </c>
      <c r="E60" s="116">
        <f t="shared" si="10"/>
        <v>12.44</v>
      </c>
      <c r="F60" s="463" t="s">
        <v>13</v>
      </c>
      <c r="G60" s="462">
        <v>251</v>
      </c>
      <c r="H60" s="476">
        <f>'1461'!H60</f>
        <v>1173</v>
      </c>
      <c r="I60" s="101">
        <f t="shared" si="11"/>
        <v>14592.12</v>
      </c>
      <c r="N60" s="779"/>
      <c r="O60" s="779"/>
      <c r="P60" s="773"/>
      <c r="Q60" s="773"/>
      <c r="R60" s="40" t="s">
        <v>13</v>
      </c>
      <c r="S60" s="468">
        <v>251</v>
      </c>
      <c r="T60" s="479">
        <f t="shared" si="12"/>
        <v>1173</v>
      </c>
      <c r="U60" s="493">
        <f t="shared" si="13"/>
        <v>0</v>
      </c>
      <c r="V60" s="443"/>
    </row>
    <row r="61" spans="1:22" x14ac:dyDescent="0.25">
      <c r="A61" s="721"/>
      <c r="B61" s="721"/>
      <c r="C61" s="143">
        <v>1.28</v>
      </c>
      <c r="D61" s="143">
        <v>0</v>
      </c>
      <c r="E61" s="116">
        <f t="shared" si="10"/>
        <v>2.56</v>
      </c>
      <c r="F61" s="463" t="s">
        <v>13</v>
      </c>
      <c r="G61" s="462">
        <v>252</v>
      </c>
      <c r="H61" s="476">
        <f>'1461'!H61</f>
        <v>3506</v>
      </c>
      <c r="I61" s="101">
        <f t="shared" si="11"/>
        <v>8975.36</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16.5</v>
      </c>
      <c r="D66" s="97">
        <f>SUM(D57:D65)</f>
        <v>0</v>
      </c>
      <c r="E66" s="97">
        <f>SUM(E57:E65)</f>
        <v>33</v>
      </c>
      <c r="F66" s="708" t="s">
        <v>464</v>
      </c>
      <c r="G66" s="708"/>
      <c r="H66" s="708"/>
      <c r="I66" s="97">
        <f>SUM(I57:I65)</f>
        <v>53005.3</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229</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1.0889999999999999E-3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250.31200000000001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1.0660000000000001E-3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229</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1.2199999999999999E-3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229</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1.091E-3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229</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1.222E-3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1.091E-3</v>
      </c>
      <c r="I85" s="101">
        <f>ROUND(F85*H85,2)</f>
        <v>50364.6</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1.0889999999999999E-3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1.222E-3</v>
      </c>
      <c r="I90" s="101">
        <f>ROUND(F90*H90,2)</f>
        <v>23269.360000000001</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1.2199999999999999E-3</v>
      </c>
      <c r="I92" s="101">
        <f t="shared" ref="I92:I96" si="14">ROUND(F92*H92,2)</f>
        <v>13958.2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1.0660000000000001E-3</v>
      </c>
      <c r="I94" s="101">
        <f t="shared" si="14"/>
        <v>272636.77</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1.0660000000000001E-3</v>
      </c>
      <c r="I96" s="101">
        <f t="shared" si="14"/>
        <v>-1690.21</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1.0889999999999999E-3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178.0026</v>
      </c>
      <c r="D104" s="703"/>
      <c r="E104" s="46">
        <f>H8</f>
        <v>1.0407999999999999</v>
      </c>
      <c r="F104" s="302">
        <f>'1461'!F104</f>
        <v>950.92</v>
      </c>
      <c r="G104" s="39" t="s">
        <v>12</v>
      </c>
      <c r="H104" s="101">
        <f>ROUND(C104*E104*F104,2)</f>
        <v>176172.29</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72.309400000000011</v>
      </c>
      <c r="D105" s="703"/>
      <c r="E105" s="46">
        <f>H8</f>
        <v>1.0407999999999999</v>
      </c>
      <c r="F105" s="302">
        <f>'1461'!F105</f>
        <v>907.92</v>
      </c>
      <c r="G105" s="39" t="s">
        <v>12</v>
      </c>
      <c r="H105" s="101">
        <f>ROUND(C105*E105*F105,2)</f>
        <v>68329.72</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250.31200000000001</v>
      </c>
      <c r="D107" s="716"/>
      <c r="E107" s="123"/>
      <c r="F107" s="123"/>
      <c r="G107" s="123"/>
      <c r="H107" s="124" t="s">
        <v>100</v>
      </c>
      <c r="I107" s="101">
        <f>IF(A1=75,0,H106+H105+H104)</f>
        <v>244502.01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16">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2045465.1600000001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1944332.1900000002</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1944332.1900000002</v>
      </c>
      <c r="I135" s="94">
        <f>ROUND(IF(E30=0,0,IF(E30&gt;250,-(((250/E30)*H135)*IF(G135="H",0.02,0.05)),IF(G135="H",-0.02*H135,-0.05*H135))),2)</f>
        <v>-38886.639999999999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2006578.5200000003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-920871.42999999993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1085707.0900000003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155101.01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127</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45.05</v>
      </c>
      <c r="D14" s="141">
        <v>0</v>
      </c>
      <c r="E14" s="187">
        <f>IF(D$30=0,C14*2,C14+D14)</f>
        <v>90.1</v>
      </c>
      <c r="F14" s="797">
        <f>'1461'!F14:G14</f>
        <v>1.1180000000000001</v>
      </c>
      <c r="G14" s="797"/>
      <c r="H14" s="145">
        <f>ROUND(E14*F14,4)</f>
        <v>100.73180000000001</v>
      </c>
      <c r="I14" s="111">
        <f>ROUND(ROUND(ROUND(H14*$C$8,4)*($H$8),2)*(MAX($H$9,1)),2)</f>
        <v>558908.78</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5</v>
      </c>
      <c r="D15" s="143">
        <v>0</v>
      </c>
      <c r="E15" s="116">
        <f t="shared" ref="E15:E29" si="1">IF(D$30=0,C15*2,C15+D15)</f>
        <v>10</v>
      </c>
      <c r="F15" s="788">
        <f>'1461'!F15:G15</f>
        <v>1.1180000000000001</v>
      </c>
      <c r="G15" s="788"/>
      <c r="H15" s="80">
        <f t="shared" ref="H15:H29" si="2">ROUND(E15*F15,4)</f>
        <v>11.18</v>
      </c>
      <c r="I15" s="101">
        <f t="shared" ref="I15:I29" si="3">ROUND(ROUND(ROUND(H15*$C$8,4)*($H$8),2)*(MAX($H$9,1)),2)</f>
        <v>62032.05</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78.540000000000006</v>
      </c>
      <c r="D16" s="143">
        <v>0</v>
      </c>
      <c r="E16" s="116">
        <f t="shared" si="1"/>
        <v>157.08000000000001</v>
      </c>
      <c r="F16" s="788">
        <f>'1461'!F16:G16</f>
        <v>1</v>
      </c>
      <c r="G16" s="788"/>
      <c r="H16" s="80">
        <f t="shared" si="2"/>
        <v>157.08000000000001</v>
      </c>
      <c r="I16" s="101">
        <f t="shared" si="3"/>
        <v>871555.86</v>
      </c>
      <c r="N16" s="747" t="s">
        <v>22</v>
      </c>
      <c r="O16" s="747"/>
      <c r="P16" s="789">
        <f t="shared" si="0"/>
        <v>0</v>
      </c>
      <c r="Q16" s="789"/>
      <c r="R16" s="793">
        <v>1</v>
      </c>
      <c r="S16" s="793"/>
      <c r="T16" s="95">
        <f t="shared" si="4"/>
        <v>0</v>
      </c>
      <c r="U16" s="492">
        <f t="shared" si="5"/>
        <v>0</v>
      </c>
    </row>
    <row r="17" spans="1:21" x14ac:dyDescent="0.25">
      <c r="A17" s="705" t="s">
        <v>23</v>
      </c>
      <c r="B17" s="705"/>
      <c r="C17" s="143">
        <v>12</v>
      </c>
      <c r="D17" s="143">
        <v>0</v>
      </c>
      <c r="E17" s="116">
        <f t="shared" si="1"/>
        <v>24</v>
      </c>
      <c r="F17" s="788">
        <f>'1461'!F17:G17</f>
        <v>1</v>
      </c>
      <c r="G17" s="788"/>
      <c r="H17" s="80">
        <f t="shared" si="2"/>
        <v>24</v>
      </c>
      <c r="I17" s="101">
        <f t="shared" si="3"/>
        <v>133163.62</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5.35</v>
      </c>
      <c r="D26" s="143">
        <v>0</v>
      </c>
      <c r="E26" s="116">
        <f t="shared" si="1"/>
        <v>10.7</v>
      </c>
      <c r="F26" s="788">
        <f>'1461'!F26:G26</f>
        <v>1.1919999999999999</v>
      </c>
      <c r="G26" s="788"/>
      <c r="H26" s="80">
        <f t="shared" si="2"/>
        <v>12.7544</v>
      </c>
      <c r="I26" s="101">
        <f t="shared" si="3"/>
        <v>70767.58</v>
      </c>
      <c r="N26" s="747" t="s">
        <v>85</v>
      </c>
      <c r="O26" s="747"/>
      <c r="P26" s="789">
        <f t="shared" si="0"/>
        <v>0</v>
      </c>
      <c r="Q26" s="789"/>
      <c r="R26" s="793">
        <v>1</v>
      </c>
      <c r="S26" s="793"/>
      <c r="T26" s="95">
        <f t="shared" si="4"/>
        <v>0</v>
      </c>
      <c r="U26" s="492">
        <f t="shared" si="5"/>
        <v>0</v>
      </c>
    </row>
    <row r="27" spans="1:21" x14ac:dyDescent="0.25">
      <c r="A27" s="705" t="s">
        <v>86</v>
      </c>
      <c r="B27" s="705"/>
      <c r="C27" s="143">
        <v>4.8899999999999997</v>
      </c>
      <c r="D27" s="143">
        <v>0</v>
      </c>
      <c r="E27" s="116">
        <f t="shared" si="1"/>
        <v>9.7799999999999994</v>
      </c>
      <c r="F27" s="788">
        <f>'1461'!F27:G27</f>
        <v>1.1919999999999999</v>
      </c>
      <c r="G27" s="788"/>
      <c r="H27" s="80">
        <f t="shared" si="2"/>
        <v>11.6578</v>
      </c>
      <c r="I27" s="101">
        <f t="shared" si="3"/>
        <v>64683.12</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150.82999999999998</v>
      </c>
      <c r="D30" s="94">
        <f>SUM(D14:D29)</f>
        <v>0</v>
      </c>
      <c r="E30" s="94">
        <f>SUM(E14:E29)</f>
        <v>301.65999999999997</v>
      </c>
      <c r="F30" s="724"/>
      <c r="G30" s="724"/>
      <c r="H30" s="99">
        <f>SUM(H14:H29)</f>
        <v>317.404</v>
      </c>
      <c r="I30" s="94">
        <f>SUM(I14:I29)</f>
        <v>1761111.0100000002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3" t="s">
        <v>528</v>
      </c>
      <c r="C51" s="26"/>
      <c r="D51" s="26"/>
      <c r="E51" s="43" t="s">
        <v>417</v>
      </c>
      <c r="F51" s="419">
        <v>1901014.9200000002</v>
      </c>
      <c r="G51" s="109" t="s">
        <v>6</v>
      </c>
      <c r="H51" s="420">
        <v>5.5899999999999998E-2</v>
      </c>
      <c r="I51" s="101">
        <f>ROUND(F51*H51,2)</f>
        <v>106266.73</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1901014.9200000002</v>
      </c>
      <c r="G52" s="109" t="s">
        <v>6</v>
      </c>
      <c r="H52" s="420">
        <v>1.0699999999999999E-2</v>
      </c>
      <c r="I52" s="101">
        <f>ROUND(F52*H52,2)</f>
        <v>20340.86</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126607.59</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4.2</v>
      </c>
      <c r="D57" s="143">
        <v>0</v>
      </c>
      <c r="E57" s="116">
        <f t="shared" ref="E57:E65" si="10">IF(D$66=0,C57*2,C57+D57)</f>
        <v>8.4</v>
      </c>
      <c r="F57" s="462" t="s">
        <v>455</v>
      </c>
      <c r="G57" s="462">
        <v>251</v>
      </c>
      <c r="H57" s="476">
        <f>'1461'!H57</f>
        <v>1047</v>
      </c>
      <c r="I57" s="101">
        <f>ROUND(E57*H57,2)</f>
        <v>8794.7999999999993</v>
      </c>
      <c r="N57" s="778" t="s">
        <v>463</v>
      </c>
      <c r="O57" s="778"/>
      <c r="P57" s="780"/>
      <c r="Q57" s="780"/>
      <c r="R57" s="468" t="s">
        <v>455</v>
      </c>
      <c r="S57" s="468">
        <v>251</v>
      </c>
      <c r="T57" s="479">
        <f>H57</f>
        <v>1047</v>
      </c>
      <c r="U57" s="493">
        <f>ROUND(P57*T57,2)</f>
        <v>0</v>
      </c>
      <c r="V57" s="443"/>
    </row>
    <row r="58" spans="1:22" x14ac:dyDescent="0.25">
      <c r="A58" s="721"/>
      <c r="B58" s="721"/>
      <c r="C58" s="143">
        <v>0.8</v>
      </c>
      <c r="D58" s="143">
        <v>0</v>
      </c>
      <c r="E58" s="116">
        <f t="shared" si="10"/>
        <v>1.6</v>
      </c>
      <c r="F58" s="462" t="s">
        <v>455</v>
      </c>
      <c r="G58" s="462">
        <v>252</v>
      </c>
      <c r="H58" s="476">
        <f>'1461'!H58</f>
        <v>3380</v>
      </c>
      <c r="I58" s="101">
        <f t="shared" ref="I58:I65" si="11">ROUND(E58*H58,2)</f>
        <v>5408</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11.08</v>
      </c>
      <c r="D60" s="143">
        <v>0</v>
      </c>
      <c r="E60" s="116">
        <f t="shared" si="10"/>
        <v>22.16</v>
      </c>
      <c r="F60" s="463" t="s">
        <v>13</v>
      </c>
      <c r="G60" s="462">
        <v>251</v>
      </c>
      <c r="H60" s="476">
        <f>'1461'!H60</f>
        <v>1173</v>
      </c>
      <c r="I60" s="101">
        <f t="shared" si="11"/>
        <v>25993.68</v>
      </c>
      <c r="N60" s="779"/>
      <c r="O60" s="779"/>
      <c r="P60" s="773"/>
      <c r="Q60" s="773"/>
      <c r="R60" s="40" t="s">
        <v>13</v>
      </c>
      <c r="S60" s="468">
        <v>251</v>
      </c>
      <c r="T60" s="479">
        <f t="shared" si="12"/>
        <v>1173</v>
      </c>
      <c r="U60" s="493">
        <f t="shared" si="13"/>
        <v>0</v>
      </c>
      <c r="V60" s="443"/>
    </row>
    <row r="61" spans="1:22" x14ac:dyDescent="0.25">
      <c r="A61" s="721"/>
      <c r="B61" s="721"/>
      <c r="C61" s="143">
        <v>0.92</v>
      </c>
      <c r="D61" s="143">
        <v>0</v>
      </c>
      <c r="E61" s="116">
        <f t="shared" si="10"/>
        <v>1.84</v>
      </c>
      <c r="F61" s="463" t="s">
        <v>13</v>
      </c>
      <c r="G61" s="462">
        <v>252</v>
      </c>
      <c r="H61" s="476">
        <f>'1461'!H61</f>
        <v>3506</v>
      </c>
      <c r="I61" s="101">
        <f t="shared" si="11"/>
        <v>6451.04</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17</v>
      </c>
      <c r="D66" s="97">
        <f>SUM(D57:D65)</f>
        <v>0</v>
      </c>
      <c r="E66" s="97">
        <f>SUM(E57:E65)</f>
        <v>34</v>
      </c>
      <c r="F66" s="708" t="s">
        <v>464</v>
      </c>
      <c r="G66" s="708"/>
      <c r="H66" s="708"/>
      <c r="I66" s="97">
        <f>SUM(I57:I65)</f>
        <v>46647.519999999997</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301.65999999999997</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1.4350000000000001E-3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317.404</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1.351E-3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301.65999999999997</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1.6069999999999999E-3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301.65999999999997</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1.4369999999999999E-3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301.65999999999997</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1.6100000000000001E-3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1.4369999999999999E-3</v>
      </c>
      <c r="I85" s="101">
        <f>ROUND(F85*H85,2)</f>
        <v>66337.240000000005</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1.4350000000000001E-3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1.6100000000000001E-3</v>
      </c>
      <c r="I90" s="101">
        <f>ROUND(F90*H90,2)</f>
        <v>30657.66</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1.6069999999999999E-3</v>
      </c>
      <c r="I92" s="101">
        <f t="shared" ref="I92:I96" si="14">ROUND(F92*H92,2)</f>
        <v>18385.93</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1.351E-3</v>
      </c>
      <c r="I94" s="101">
        <f t="shared" si="14"/>
        <v>345527.46</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1.351E-3</v>
      </c>
      <c r="I96" s="101">
        <f t="shared" si="14"/>
        <v>-2142.09</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1.4350000000000001E-3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124.6662</v>
      </c>
      <c r="D104" s="703"/>
      <c r="E104" s="46">
        <f>H8</f>
        <v>1.0407999999999999</v>
      </c>
      <c r="F104" s="302">
        <f>'1461'!F104</f>
        <v>950.92</v>
      </c>
      <c r="G104" s="39" t="s">
        <v>12</v>
      </c>
      <c r="H104" s="101">
        <f>ROUND(C104*E104*F104,2)</f>
        <v>123384.32000000001</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192.73780000000002</v>
      </c>
      <c r="D105" s="703"/>
      <c r="E105" s="46">
        <f>H8</f>
        <v>1.0407999999999999</v>
      </c>
      <c r="F105" s="302">
        <f>'1461'!F105</f>
        <v>907.92</v>
      </c>
      <c r="G105" s="39" t="s">
        <v>12</v>
      </c>
      <c r="H105" s="101">
        <f>ROUND(C105*E105*F105,2)</f>
        <v>182130.12</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317.404</v>
      </c>
      <c r="D107" s="716"/>
      <c r="E107" s="123"/>
      <c r="F107" s="123"/>
      <c r="G107" s="123"/>
      <c r="H107" s="124" t="s">
        <v>100</v>
      </c>
      <c r="I107" s="101">
        <f>IF(A1=75,0,H106+H105+H104)</f>
        <v>305514.44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2572039.1700000004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2445431.5800000005</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2445431.5800000005</v>
      </c>
      <c r="I135" s="94">
        <f>ROUND(IF(E30=0,0,IF(E30&gt;250,-(((250/E30)*H135)*IF(G135="H",0.02,0.05)),IF(G135="H",-0.02*H135,-0.05*H135))),2)</f>
        <v>-101332.28</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2470706.8900000006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-1121512.51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1349194.3800000006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192742.05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20939.3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7">
    <tabColor rgb="FFFFCCCC"/>
  </sheetPr>
  <dimension ref="A1:V221"/>
  <sheetViews>
    <sheetView topLeftCell="A22"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343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236.41</v>
      </c>
      <c r="D18" s="143">
        <v>0</v>
      </c>
      <c r="E18" s="116">
        <f t="shared" si="1"/>
        <v>472.82</v>
      </c>
      <c r="F18" s="788">
        <f>'1461'!F18:G18</f>
        <v>0.97799999999999998</v>
      </c>
      <c r="G18" s="788"/>
      <c r="H18" s="80">
        <f t="shared" si="2"/>
        <v>462.41800000000001</v>
      </c>
      <c r="I18" s="101">
        <f t="shared" si="3"/>
        <v>2565718.87</v>
      </c>
      <c r="N18" s="747" t="s">
        <v>24</v>
      </c>
      <c r="O18" s="747"/>
      <c r="P18" s="789">
        <f t="shared" si="0"/>
        <v>0</v>
      </c>
      <c r="Q18" s="789"/>
      <c r="R18" s="793">
        <v>1</v>
      </c>
      <c r="S18" s="793"/>
      <c r="T18" s="95">
        <f t="shared" si="4"/>
        <v>0</v>
      </c>
      <c r="U18" s="492">
        <f t="shared" si="5"/>
        <v>0</v>
      </c>
    </row>
    <row r="19" spans="1:21" x14ac:dyDescent="0.25">
      <c r="A19" s="705" t="s">
        <v>25</v>
      </c>
      <c r="B19" s="705"/>
      <c r="C19" s="143">
        <v>46.43</v>
      </c>
      <c r="D19" s="143">
        <v>0</v>
      </c>
      <c r="E19" s="116">
        <f t="shared" si="1"/>
        <v>92.86</v>
      </c>
      <c r="F19" s="788">
        <f>'1461'!F19:G19</f>
        <v>0.97799999999999998</v>
      </c>
      <c r="G19" s="788"/>
      <c r="H19" s="80">
        <f t="shared" si="2"/>
        <v>90.817099999999996</v>
      </c>
      <c r="I19" s="101">
        <f t="shared" si="3"/>
        <v>503897.22</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32.700000000000003</v>
      </c>
      <c r="D28" s="143">
        <v>0</v>
      </c>
      <c r="E28" s="116">
        <f t="shared" si="1"/>
        <v>65.400000000000006</v>
      </c>
      <c r="F28" s="788">
        <f>'1461'!F28:G28</f>
        <v>1.1919999999999999</v>
      </c>
      <c r="G28" s="788"/>
      <c r="H28" s="80">
        <f t="shared" si="2"/>
        <v>77.956800000000001</v>
      </c>
      <c r="I28" s="101">
        <f t="shared" si="3"/>
        <v>432542.06</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315.53999999999996</v>
      </c>
      <c r="D30" s="94">
        <f>SUM(D14:D29)</f>
        <v>0</v>
      </c>
      <c r="E30" s="94">
        <f>SUM(E14:E29)</f>
        <v>631.07999999999993</v>
      </c>
      <c r="F30" s="724"/>
      <c r="G30" s="724"/>
      <c r="H30" s="99">
        <f>SUM(H14:H29)</f>
        <v>631.19190000000003</v>
      </c>
      <c r="I30" s="94">
        <f>SUM(I14:I29)</f>
        <v>3502158.15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3" t="s">
        <v>528</v>
      </c>
      <c r="C51" s="26"/>
      <c r="D51" s="26"/>
      <c r="E51" s="43" t="s">
        <v>417</v>
      </c>
      <c r="F51" s="419">
        <v>3681214.3800000004</v>
      </c>
      <c r="G51" s="109" t="s">
        <v>6</v>
      </c>
      <c r="H51" s="420">
        <v>5.5899999999999998E-2</v>
      </c>
      <c r="I51" s="101">
        <f>ROUND(F51*H51,2)</f>
        <v>205779.88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3681214.3800000004</v>
      </c>
      <c r="G52" s="109" t="s">
        <v>6</v>
      </c>
      <c r="H52" s="420">
        <v>1.0699999999999999E-2</v>
      </c>
      <c r="I52" s="101">
        <f>ROUND(F52*H52,2)</f>
        <v>39388.99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245168.87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45.99</v>
      </c>
      <c r="D63" s="143">
        <v>0</v>
      </c>
      <c r="E63" s="116">
        <f t="shared" si="10"/>
        <v>91.98</v>
      </c>
      <c r="F63" s="463" t="s">
        <v>14</v>
      </c>
      <c r="G63" s="462">
        <v>251</v>
      </c>
      <c r="H63" s="476">
        <f>'1461'!H63</f>
        <v>835</v>
      </c>
      <c r="I63" s="101">
        <f t="shared" si="11"/>
        <v>76803.3</v>
      </c>
      <c r="N63" s="779"/>
      <c r="O63" s="779"/>
      <c r="P63" s="773"/>
      <c r="Q63" s="773"/>
      <c r="R63" s="40" t="s">
        <v>14</v>
      </c>
      <c r="S63" s="468">
        <v>251</v>
      </c>
      <c r="T63" s="479">
        <f t="shared" si="12"/>
        <v>835</v>
      </c>
      <c r="U63" s="493">
        <f t="shared" si="13"/>
        <v>0</v>
      </c>
      <c r="V63" s="443"/>
    </row>
    <row r="64" spans="1:22" x14ac:dyDescent="0.25">
      <c r="A64" s="721"/>
      <c r="B64" s="721"/>
      <c r="C64" s="143">
        <v>0.44</v>
      </c>
      <c r="D64" s="143">
        <v>0</v>
      </c>
      <c r="E64" s="116">
        <f t="shared" si="10"/>
        <v>0.88</v>
      </c>
      <c r="F64" s="463" t="s">
        <v>14</v>
      </c>
      <c r="G64" s="462">
        <v>252</v>
      </c>
      <c r="H64" s="476">
        <f>'1461'!H64</f>
        <v>3168</v>
      </c>
      <c r="I64" s="101">
        <f t="shared" si="11"/>
        <v>2787.84</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46.43</v>
      </c>
      <c r="D66" s="97">
        <f>SUM(D57:D65)</f>
        <v>0</v>
      </c>
      <c r="E66" s="97">
        <f>SUM(E57:E65)</f>
        <v>92.86</v>
      </c>
      <c r="F66" s="708" t="s">
        <v>464</v>
      </c>
      <c r="G66" s="708"/>
      <c r="H66" s="708"/>
      <c r="I66" s="97">
        <f>SUM(I57:I65)</f>
        <v>79591.14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631.07999999999993</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3.0019999999999999E-3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631.19190000000003</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2.6870000000000002E-3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631.07999999999993</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3.3630000000000001E-3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631.07999999999993</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3.0070000000000001E-3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631.07999999999993</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3.369E-3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3.0070000000000001E-3</v>
      </c>
      <c r="I85" s="101">
        <f>ROUND(F85*H85,2)</f>
        <v>138814.26</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3.0019999999999999E-3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3.369E-3</v>
      </c>
      <c r="I90" s="101">
        <f>ROUND(F90*H90,2)</f>
        <v>64152.59</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3.3630000000000001E-3</v>
      </c>
      <c r="I92" s="101">
        <f t="shared" ref="I92:I96" si="14">ROUND(F92*H92,2)</f>
        <v>38476.589999999997</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2.6870000000000002E-3</v>
      </c>
      <c r="I94" s="101">
        <f t="shared" si="14"/>
        <v>687218.56</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2.6870000000000002E-3</v>
      </c>
      <c r="I96" s="101">
        <f t="shared" si="14"/>
        <v>-4260.3999999999996</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3.0019999999999999E-3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631.19190000000003</v>
      </c>
      <c r="D106" s="703"/>
      <c r="E106" s="46">
        <f>H8</f>
        <v>1.0407999999999999</v>
      </c>
      <c r="F106" s="302">
        <f>'1461'!F106</f>
        <v>910.12</v>
      </c>
      <c r="G106" s="39" t="s">
        <v>12</v>
      </c>
      <c r="H106" s="94">
        <f>ROUND(C106*E106*F106,2)</f>
        <v>597898.36</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631.19190000000003</v>
      </c>
      <c r="D107" s="716"/>
      <c r="E107" s="123"/>
      <c r="F107" s="123"/>
      <c r="G107" s="123"/>
      <c r="H107" s="124" t="s">
        <v>100</v>
      </c>
      <c r="I107" s="101">
        <f>IF(A1=75,0,H106+H105+H104)</f>
        <v>597898.36</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413</v>
      </c>
      <c r="D113" s="143">
        <v>490</v>
      </c>
      <c r="E113" s="116">
        <f>(C113+D113)/2</f>
        <v>451.5</v>
      </c>
      <c r="F113" s="126" t="s">
        <v>30</v>
      </c>
      <c r="G113" s="303">
        <f>'1461'!G113</f>
        <v>567</v>
      </c>
      <c r="I113" s="101">
        <f>ROUND(G113*E113,2)</f>
        <v>256000.5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5360049.7499999991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5114880.879999999</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5114880.879999999</v>
      </c>
      <c r="I135" s="94">
        <f>ROUND(IF(E30=0,0,IF(E30&gt;250,-(((250/E30)*H135)*IF(G135="H",0.02,0.05)),IF(G135="H",-0.02*H135,-0.05*H135))),2)</f>
        <v>-101312.05</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5258737.6999999993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-2298677.46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2960060.2399999993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422865.75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154431.99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128</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91.07</v>
      </c>
      <c r="D14" s="141">
        <v>0</v>
      </c>
      <c r="E14" s="187">
        <f>IF(D$30=0,C14*2,C14+D14)</f>
        <v>182.14</v>
      </c>
      <c r="F14" s="797">
        <f>'1461'!F14:G14</f>
        <v>1.1180000000000001</v>
      </c>
      <c r="G14" s="797"/>
      <c r="H14" s="145">
        <f>ROUND(E14*F14,4)</f>
        <v>203.63249999999999</v>
      </c>
      <c r="I14" s="111">
        <f>ROUND(ROUND(ROUND(H14*$C$8,4)*($H$8),2)*(MAX($H$9,1)),2)</f>
        <v>1129851.6599999999</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14</v>
      </c>
      <c r="D15" s="143">
        <v>0</v>
      </c>
      <c r="E15" s="116">
        <f t="shared" ref="E15:E29" si="1">IF(D$30=0,C15*2,C15+D15)</f>
        <v>28</v>
      </c>
      <c r="F15" s="788">
        <f>'1461'!F15:G15</f>
        <v>1.1180000000000001</v>
      </c>
      <c r="G15" s="788"/>
      <c r="H15" s="80">
        <f t="shared" ref="H15:H29" si="2">ROUND(E15*F15,4)</f>
        <v>31.303999999999998</v>
      </c>
      <c r="I15" s="101">
        <f t="shared" ref="I15:I29" si="3">ROUND(ROUND(ROUND(H15*$C$8,4)*($H$8),2)*(MAX($H$9,1)),2)</f>
        <v>173689.74</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155.16999999999999</v>
      </c>
      <c r="D16" s="143">
        <v>0</v>
      </c>
      <c r="E16" s="116">
        <f t="shared" si="1"/>
        <v>310.33999999999997</v>
      </c>
      <c r="F16" s="788">
        <f>'1461'!F16:G16</f>
        <v>1</v>
      </c>
      <c r="G16" s="788"/>
      <c r="H16" s="80">
        <f t="shared" si="2"/>
        <v>310.33999999999997</v>
      </c>
      <c r="I16" s="101">
        <f t="shared" si="3"/>
        <v>1721916.52</v>
      </c>
      <c r="N16" s="747" t="s">
        <v>22</v>
      </c>
      <c r="O16" s="747"/>
      <c r="P16" s="789">
        <f t="shared" si="0"/>
        <v>0</v>
      </c>
      <c r="Q16" s="789"/>
      <c r="R16" s="793">
        <v>1</v>
      </c>
      <c r="S16" s="793"/>
      <c r="T16" s="95">
        <f t="shared" si="4"/>
        <v>0</v>
      </c>
      <c r="U16" s="492">
        <f t="shared" si="5"/>
        <v>0</v>
      </c>
    </row>
    <row r="17" spans="1:21" x14ac:dyDescent="0.25">
      <c r="A17" s="705" t="s">
        <v>23</v>
      </c>
      <c r="B17" s="705"/>
      <c r="C17" s="143">
        <v>22</v>
      </c>
      <c r="D17" s="143">
        <v>0</v>
      </c>
      <c r="E17" s="116">
        <f t="shared" si="1"/>
        <v>44</v>
      </c>
      <c r="F17" s="788">
        <f>'1461'!F17:G17</f>
        <v>1</v>
      </c>
      <c r="G17" s="788"/>
      <c r="H17" s="80">
        <f t="shared" si="2"/>
        <v>44</v>
      </c>
      <c r="I17" s="101">
        <f t="shared" si="3"/>
        <v>244133.3</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37.43</v>
      </c>
      <c r="D26" s="143">
        <v>0</v>
      </c>
      <c r="E26" s="116">
        <f t="shared" si="1"/>
        <v>74.86</v>
      </c>
      <c r="F26" s="788">
        <f>'1461'!F26:G26</f>
        <v>1.1919999999999999</v>
      </c>
      <c r="G26" s="788"/>
      <c r="H26" s="80">
        <f t="shared" si="2"/>
        <v>89.233099999999993</v>
      </c>
      <c r="I26" s="101">
        <f t="shared" si="3"/>
        <v>495108.43</v>
      </c>
      <c r="N26" s="747" t="s">
        <v>85</v>
      </c>
      <c r="O26" s="747"/>
      <c r="P26" s="789">
        <f t="shared" si="0"/>
        <v>0</v>
      </c>
      <c r="Q26" s="789"/>
      <c r="R26" s="793">
        <v>1</v>
      </c>
      <c r="S26" s="793"/>
      <c r="T26" s="95">
        <f t="shared" si="4"/>
        <v>0</v>
      </c>
      <c r="U26" s="492">
        <f t="shared" si="5"/>
        <v>0</v>
      </c>
    </row>
    <row r="27" spans="1:21" x14ac:dyDescent="0.25">
      <c r="A27" s="705" t="s">
        <v>86</v>
      </c>
      <c r="B27" s="705"/>
      <c r="C27" s="143">
        <v>21.33</v>
      </c>
      <c r="D27" s="143">
        <v>0</v>
      </c>
      <c r="E27" s="116">
        <f t="shared" si="1"/>
        <v>42.66</v>
      </c>
      <c r="F27" s="788">
        <f>'1461'!F27:G27</f>
        <v>1.1919999999999999</v>
      </c>
      <c r="G27" s="788"/>
      <c r="H27" s="80">
        <f t="shared" si="2"/>
        <v>50.850700000000003</v>
      </c>
      <c r="I27" s="101">
        <f t="shared" si="3"/>
        <v>282144.28999999998</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341</v>
      </c>
      <c r="D30" s="94">
        <f>SUM(D14:D29)</f>
        <v>0</v>
      </c>
      <c r="E30" s="94">
        <f>SUM(E14:E29)</f>
        <v>682</v>
      </c>
      <c r="F30" s="724"/>
      <c r="G30" s="724"/>
      <c r="H30" s="99">
        <f>SUM(H14:H29)</f>
        <v>729.36029999999994</v>
      </c>
      <c r="I30" s="94">
        <f>SUM(I14:I29)</f>
        <v>4046843.94</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4185520.5300000003</v>
      </c>
      <c r="G51" s="109" t="s">
        <v>6</v>
      </c>
      <c r="H51" s="420">
        <v>5.5899999999999998E-2</v>
      </c>
      <c r="I51" s="101">
        <f>ROUND(F51*H51,2)</f>
        <v>233970.6</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4185520.5300000003</v>
      </c>
      <c r="G52" s="109" t="s">
        <v>6</v>
      </c>
      <c r="H52" s="420">
        <v>1.0699999999999999E-2</v>
      </c>
      <c r="I52" s="101">
        <f>ROUND(F52*H52,2)</f>
        <v>44785.07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278755.67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13.05</v>
      </c>
      <c r="D57" s="143">
        <v>0</v>
      </c>
      <c r="E57" s="116">
        <f t="shared" ref="E57:E65" si="10">IF(D$66=0,C57*2,C57+D57)</f>
        <v>26.1</v>
      </c>
      <c r="F57" s="462" t="s">
        <v>455</v>
      </c>
      <c r="G57" s="462">
        <v>251</v>
      </c>
      <c r="H57" s="476">
        <f>'1461'!H57</f>
        <v>1047</v>
      </c>
      <c r="I57" s="101">
        <f>ROUND(E57*H57,2)</f>
        <v>27326.7</v>
      </c>
      <c r="N57" s="778" t="s">
        <v>463</v>
      </c>
      <c r="O57" s="778"/>
      <c r="P57" s="780"/>
      <c r="Q57" s="780"/>
      <c r="R57" s="468" t="s">
        <v>455</v>
      </c>
      <c r="S57" s="468">
        <v>251</v>
      </c>
      <c r="T57" s="479">
        <f>H57</f>
        <v>1047</v>
      </c>
      <c r="U57" s="493">
        <f>ROUND(P57*T57,2)</f>
        <v>0</v>
      </c>
      <c r="V57" s="443"/>
    </row>
    <row r="58" spans="1:22" x14ac:dyDescent="0.25">
      <c r="A58" s="721"/>
      <c r="B58" s="721"/>
      <c r="C58" s="143">
        <v>0.95</v>
      </c>
      <c r="D58" s="143">
        <v>0</v>
      </c>
      <c r="E58" s="116">
        <f t="shared" si="10"/>
        <v>1.9</v>
      </c>
      <c r="F58" s="462" t="s">
        <v>455</v>
      </c>
      <c r="G58" s="462">
        <v>252</v>
      </c>
      <c r="H58" s="476">
        <f>'1461'!H58</f>
        <v>3380</v>
      </c>
      <c r="I58" s="101">
        <f t="shared" ref="I58:I65" si="11">ROUND(E58*H58,2)</f>
        <v>6422</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18.420000000000002</v>
      </c>
      <c r="D60" s="143">
        <v>0</v>
      </c>
      <c r="E60" s="116">
        <f t="shared" si="10"/>
        <v>36.840000000000003</v>
      </c>
      <c r="F60" s="463" t="s">
        <v>13</v>
      </c>
      <c r="G60" s="462">
        <v>251</v>
      </c>
      <c r="H60" s="476">
        <f>'1461'!H60</f>
        <v>1173</v>
      </c>
      <c r="I60" s="101">
        <f t="shared" si="11"/>
        <v>43213.32</v>
      </c>
      <c r="N60" s="779"/>
      <c r="O60" s="779"/>
      <c r="P60" s="773"/>
      <c r="Q60" s="773"/>
      <c r="R60" s="40" t="s">
        <v>13</v>
      </c>
      <c r="S60" s="468">
        <v>251</v>
      </c>
      <c r="T60" s="479">
        <f t="shared" si="12"/>
        <v>1173</v>
      </c>
      <c r="U60" s="493">
        <f t="shared" si="13"/>
        <v>0</v>
      </c>
      <c r="V60" s="443"/>
    </row>
    <row r="61" spans="1:22" x14ac:dyDescent="0.25">
      <c r="A61" s="721"/>
      <c r="B61" s="721"/>
      <c r="C61" s="143">
        <v>3.58</v>
      </c>
      <c r="D61" s="143">
        <v>0</v>
      </c>
      <c r="E61" s="116">
        <f t="shared" si="10"/>
        <v>7.16</v>
      </c>
      <c r="F61" s="463" t="s">
        <v>13</v>
      </c>
      <c r="G61" s="462">
        <v>252</v>
      </c>
      <c r="H61" s="476">
        <f>'1461'!H61</f>
        <v>3506</v>
      </c>
      <c r="I61" s="101">
        <f t="shared" si="11"/>
        <v>25102.959999999999</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36</v>
      </c>
      <c r="D66" s="97">
        <f>SUM(D57:D65)</f>
        <v>0</v>
      </c>
      <c r="E66" s="97">
        <f>SUM(E57:E65)</f>
        <v>72</v>
      </c>
      <c r="F66" s="708" t="s">
        <v>464</v>
      </c>
      <c r="G66" s="708"/>
      <c r="H66" s="708"/>
      <c r="I66" s="97">
        <f>SUM(I57:I65)</f>
        <v>102064.97999999998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682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3.2439999999999999E-3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729.36029999999994</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3.1050000000000001E-3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682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3.6340000000000001E-3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682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3.2490000000000002E-3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682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3.6410000000000001E-3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3.2490000000000002E-3</v>
      </c>
      <c r="I85" s="101">
        <f>ROUND(F85*H85,2)</f>
        <v>149985.87</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3.2439999999999999E-3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3.6410000000000001E-3</v>
      </c>
      <c r="I90" s="101">
        <f>ROUND(F90*H90,2)</f>
        <v>69332.02</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3.6340000000000001E-3</v>
      </c>
      <c r="I92" s="101">
        <f t="shared" ref="I92:I96" si="14">ROUND(F92*H92,2)</f>
        <v>41577.14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3.1050000000000001E-3</v>
      </c>
      <c r="I94" s="101">
        <f t="shared" si="14"/>
        <v>794124.91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3.1050000000000001E-3</v>
      </c>
      <c r="I96" s="101">
        <f t="shared" si="14"/>
        <v>-4923.16</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3.2439999999999999E-3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324.1696</v>
      </c>
      <c r="D104" s="703"/>
      <c r="E104" s="46">
        <f>H8</f>
        <v>1.0407999999999999</v>
      </c>
      <c r="F104" s="302">
        <f>'1461'!F104</f>
        <v>950.92</v>
      </c>
      <c r="G104" s="39" t="s">
        <v>12</v>
      </c>
      <c r="H104" s="101">
        <f>ROUND(C104*E104*F104,2)</f>
        <v>320836.34000000003</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405.19069999999999</v>
      </c>
      <c r="D105" s="703"/>
      <c r="E105" s="46">
        <f>H8</f>
        <v>1.0407999999999999</v>
      </c>
      <c r="F105" s="302">
        <f>'1461'!F105</f>
        <v>907.92</v>
      </c>
      <c r="G105" s="39" t="s">
        <v>12</v>
      </c>
      <c r="H105" s="101">
        <f>ROUND(C105*E105*F105,2)</f>
        <v>382890.27</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729.36030000000005</v>
      </c>
      <c r="D107" s="716"/>
      <c r="E107" s="123"/>
      <c r="F107" s="123"/>
      <c r="G107" s="123"/>
      <c r="H107" s="124" t="s">
        <v>100</v>
      </c>
      <c r="I107" s="101">
        <f>IF(A1=75,0,H106+H105+H104)</f>
        <v>703726.6100000001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91</v>
      </c>
      <c r="D113" s="143">
        <v>101</v>
      </c>
      <c r="E113" s="116">
        <f>(C113+D113)/2</f>
        <v>96</v>
      </c>
      <c r="F113" s="126" t="s">
        <v>30</v>
      </c>
      <c r="G113" s="303">
        <f>'1461'!G113</f>
        <v>567</v>
      </c>
      <c r="I113" s="101">
        <f>ROUND(G113*E113,2)</f>
        <v>54432</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5957164.3099999996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5678408.6399999997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816" t="s">
        <v>518</v>
      </c>
      <c r="O132" s="817"/>
      <c r="P132" s="817"/>
      <c r="Q132" s="817"/>
      <c r="R132" s="817"/>
      <c r="S132" s="817"/>
      <c r="T132" s="817"/>
      <c r="U132" s="138"/>
    </row>
    <row r="133" spans="1:21" x14ac:dyDescent="0.25">
      <c r="A133" s="705" t="s">
        <v>70</v>
      </c>
      <c r="B133" s="705"/>
      <c r="C133" s="705"/>
      <c r="D133" s="705"/>
      <c r="E133" s="705"/>
      <c r="F133" s="705"/>
      <c r="G133" s="705"/>
      <c r="H133" s="70" t="str">
        <f>IF(E30=0,"",IF((E15+E17+SUM(E19:E25))/E30&gt;0.75,1,""))</f>
        <v/>
      </c>
      <c r="I133" s="116">
        <f>U130</f>
        <v>0</v>
      </c>
      <c r="N133" s="817" t="s">
        <v>70</v>
      </c>
      <c r="O133" s="817"/>
      <c r="P133" s="817"/>
      <c r="Q133" s="817"/>
      <c r="R133" s="817"/>
      <c r="S133" s="817"/>
      <c r="T133" s="81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5678408.6399999997</v>
      </c>
      <c r="I135" s="94">
        <f>ROUND(IF(E30=0,0,IF(E30&gt;250,-(((250/E30)*H135)*IF(G135="H",0.02,0.05)),IF(G135="H",-0.02*H135,-0.05*H135))),2)</f>
        <v>-104076.4</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5853087.9099999992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-2515636.65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3337451.2599999993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476778.75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179844.03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tabColor rgb="FFFFCCCC"/>
  </sheetPr>
  <dimension ref="A1:V221"/>
  <sheetViews>
    <sheetView topLeftCell="A22" workbookViewId="0">
      <selection activeCell="E64" sqref="E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129</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119.76</v>
      </c>
      <c r="D14" s="141">
        <v>0</v>
      </c>
      <c r="E14" s="187">
        <f>IF(D$30=0,C14*2,C14+D14)</f>
        <v>239.52</v>
      </c>
      <c r="F14" s="797">
        <f>'1461'!F14:G14</f>
        <v>1.1180000000000001</v>
      </c>
      <c r="G14" s="797"/>
      <c r="H14" s="145">
        <f>ROUND(E14*F14,4)</f>
        <v>267.78339999999997</v>
      </c>
      <c r="I14" s="111">
        <f>ROUND(ROUND(ROUND(H14*$C$8,4)*($H$8),2)*(MAX($H$9,1)),2)</f>
        <v>1485791.91</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15.5</v>
      </c>
      <c r="D15" s="143">
        <v>0</v>
      </c>
      <c r="E15" s="116">
        <f t="shared" ref="E15:E29" si="1">IF(D$30=0,C15*2,C15+D15)</f>
        <v>31</v>
      </c>
      <c r="F15" s="788">
        <f>'1461'!F15:G15</f>
        <v>1.1180000000000001</v>
      </c>
      <c r="G15" s="788"/>
      <c r="H15" s="80">
        <f t="shared" ref="H15:H29" si="2">ROUND(E15*F15,4)</f>
        <v>34.658000000000001</v>
      </c>
      <c r="I15" s="101">
        <f t="shared" ref="I15:I29" si="3">ROUND(ROUND(ROUND(H15*$C$8,4)*($H$8),2)*(MAX($H$9,1)),2)</f>
        <v>192299.36</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189.32</v>
      </c>
      <c r="D16" s="143">
        <v>0</v>
      </c>
      <c r="E16" s="116">
        <f t="shared" si="1"/>
        <v>378.64</v>
      </c>
      <c r="F16" s="788">
        <f>'1461'!F16:G16</f>
        <v>1</v>
      </c>
      <c r="G16" s="788"/>
      <c r="H16" s="80">
        <f t="shared" si="2"/>
        <v>378.64</v>
      </c>
      <c r="I16" s="101">
        <f t="shared" si="3"/>
        <v>2100877.98</v>
      </c>
      <c r="N16" s="747" t="s">
        <v>22</v>
      </c>
      <c r="O16" s="747"/>
      <c r="P16" s="789">
        <f t="shared" si="0"/>
        <v>0</v>
      </c>
      <c r="Q16" s="789"/>
      <c r="R16" s="793">
        <v>1</v>
      </c>
      <c r="S16" s="793"/>
      <c r="T16" s="95">
        <f t="shared" si="4"/>
        <v>0</v>
      </c>
      <c r="U16" s="492">
        <f t="shared" si="5"/>
        <v>0</v>
      </c>
    </row>
    <row r="17" spans="1:21" x14ac:dyDescent="0.25">
      <c r="A17" s="705" t="s">
        <v>23</v>
      </c>
      <c r="B17" s="705"/>
      <c r="C17" s="143">
        <v>26.5</v>
      </c>
      <c r="D17" s="143">
        <v>0</v>
      </c>
      <c r="E17" s="116">
        <f t="shared" si="1"/>
        <v>53</v>
      </c>
      <c r="F17" s="788">
        <f>'1461'!F17:G17</f>
        <v>1</v>
      </c>
      <c r="G17" s="788"/>
      <c r="H17" s="80">
        <f t="shared" si="2"/>
        <v>53</v>
      </c>
      <c r="I17" s="101">
        <f t="shared" si="3"/>
        <v>294069.65000000002</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95</v>
      </c>
      <c r="D26" s="143">
        <v>0</v>
      </c>
      <c r="E26" s="116">
        <f t="shared" si="1"/>
        <v>190</v>
      </c>
      <c r="F26" s="788">
        <f>'1461'!F26:G26</f>
        <v>1.1919999999999999</v>
      </c>
      <c r="G26" s="788"/>
      <c r="H26" s="80">
        <f t="shared" si="2"/>
        <v>226.48</v>
      </c>
      <c r="I26" s="101">
        <f t="shared" si="3"/>
        <v>1256620.6499999999</v>
      </c>
      <c r="N26" s="747" t="s">
        <v>85</v>
      </c>
      <c r="O26" s="747"/>
      <c r="P26" s="789">
        <f t="shared" si="0"/>
        <v>0</v>
      </c>
      <c r="Q26" s="789"/>
      <c r="R26" s="793">
        <v>1</v>
      </c>
      <c r="S26" s="793"/>
      <c r="T26" s="95">
        <f t="shared" si="4"/>
        <v>0</v>
      </c>
      <c r="U26" s="492">
        <f t="shared" si="5"/>
        <v>0</v>
      </c>
    </row>
    <row r="27" spans="1:21" x14ac:dyDescent="0.25">
      <c r="A27" s="705" t="s">
        <v>86</v>
      </c>
      <c r="B27" s="705"/>
      <c r="C27" s="143">
        <v>46</v>
      </c>
      <c r="D27" s="143">
        <v>0</v>
      </c>
      <c r="E27" s="116">
        <f t="shared" si="1"/>
        <v>92</v>
      </c>
      <c r="F27" s="788">
        <f>'1461'!F27:G27</f>
        <v>1.1919999999999999</v>
      </c>
      <c r="G27" s="788"/>
      <c r="H27" s="80">
        <f t="shared" si="2"/>
        <v>109.664</v>
      </c>
      <c r="I27" s="101">
        <f t="shared" si="3"/>
        <v>608468.94999999995</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492.08</v>
      </c>
      <c r="D30" s="94">
        <f>SUM(D14:D29)</f>
        <v>0</v>
      </c>
      <c r="E30" s="94">
        <f>SUM(E14:E29)</f>
        <v>984.16</v>
      </c>
      <c r="F30" s="724"/>
      <c r="G30" s="724"/>
      <c r="H30" s="99">
        <f>SUM(H14:H29)</f>
        <v>1070.2254</v>
      </c>
      <c r="I30" s="94">
        <f>SUM(I14:I29)</f>
        <v>5938128.5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6499560.1600000001</v>
      </c>
      <c r="G51" s="109" t="s">
        <v>6</v>
      </c>
      <c r="H51" s="420">
        <v>5.5899999999999998E-2</v>
      </c>
      <c r="I51" s="101">
        <f>ROUND(F51*H51,2)</f>
        <v>363325.41</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6499560.1600000001</v>
      </c>
      <c r="G52" s="109" t="s">
        <v>6</v>
      </c>
      <c r="H52" s="420">
        <v>1.0699999999999999E-2</v>
      </c>
      <c r="I52" s="101">
        <f>ROUND(F52*H52,2)</f>
        <v>69545.289999999994</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432870.69999999995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10.64</v>
      </c>
      <c r="D57" s="143">
        <v>0</v>
      </c>
      <c r="E57" s="116">
        <f t="shared" ref="E57:E65" si="10">IF(D$66=0,C57*2,C57+D57)</f>
        <v>21.28</v>
      </c>
      <c r="F57" s="462" t="s">
        <v>455</v>
      </c>
      <c r="G57" s="462">
        <v>251</v>
      </c>
      <c r="H57" s="476">
        <f>'1461'!H57</f>
        <v>1047</v>
      </c>
      <c r="I57" s="101">
        <f>ROUND(E57*H57,2)</f>
        <v>22280.16</v>
      </c>
      <c r="N57" s="778" t="s">
        <v>463</v>
      </c>
      <c r="O57" s="778"/>
      <c r="P57" s="780"/>
      <c r="Q57" s="780"/>
      <c r="R57" s="468" t="s">
        <v>455</v>
      </c>
      <c r="S57" s="468">
        <v>251</v>
      </c>
      <c r="T57" s="479">
        <f>H57</f>
        <v>1047</v>
      </c>
      <c r="U57" s="493">
        <f>ROUND(P57*T57,2)</f>
        <v>0</v>
      </c>
      <c r="V57" s="443"/>
    </row>
    <row r="58" spans="1:22" x14ac:dyDescent="0.25">
      <c r="A58" s="721"/>
      <c r="B58" s="721"/>
      <c r="C58" s="143">
        <v>4.8600000000000003</v>
      </c>
      <c r="D58" s="143">
        <v>0</v>
      </c>
      <c r="E58" s="116">
        <f t="shared" si="10"/>
        <v>9.7200000000000006</v>
      </c>
      <c r="F58" s="462" t="s">
        <v>455</v>
      </c>
      <c r="G58" s="462">
        <v>252</v>
      </c>
      <c r="H58" s="476">
        <f>'1461'!H58</f>
        <v>3380</v>
      </c>
      <c r="I58" s="101">
        <f t="shared" ref="I58:I65" si="11">ROUND(E58*H58,2)</f>
        <v>32853.599999999999</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23.38</v>
      </c>
      <c r="D60" s="143">
        <v>0</v>
      </c>
      <c r="E60" s="116">
        <f t="shared" si="10"/>
        <v>46.76</v>
      </c>
      <c r="F60" s="463" t="s">
        <v>13</v>
      </c>
      <c r="G60" s="462">
        <v>251</v>
      </c>
      <c r="H60" s="476">
        <f>'1461'!H60</f>
        <v>1173</v>
      </c>
      <c r="I60" s="101">
        <f t="shared" si="11"/>
        <v>54849.48</v>
      </c>
      <c r="N60" s="779"/>
      <c r="O60" s="779"/>
      <c r="P60" s="773"/>
      <c r="Q60" s="773"/>
      <c r="R60" s="40" t="s">
        <v>13</v>
      </c>
      <c r="S60" s="468">
        <v>251</v>
      </c>
      <c r="T60" s="479">
        <f t="shared" si="12"/>
        <v>1173</v>
      </c>
      <c r="U60" s="493">
        <f t="shared" si="13"/>
        <v>0</v>
      </c>
      <c r="V60" s="443"/>
    </row>
    <row r="61" spans="1:22" x14ac:dyDescent="0.25">
      <c r="A61" s="721"/>
      <c r="B61" s="721"/>
      <c r="C61" s="143">
        <v>2.88</v>
      </c>
      <c r="D61" s="143">
        <v>0</v>
      </c>
      <c r="E61" s="116">
        <f t="shared" si="10"/>
        <v>5.76</v>
      </c>
      <c r="F61" s="463" t="s">
        <v>13</v>
      </c>
      <c r="G61" s="462">
        <v>252</v>
      </c>
      <c r="H61" s="476">
        <f>'1461'!H61</f>
        <v>3506</v>
      </c>
      <c r="I61" s="101">
        <f t="shared" si="11"/>
        <v>20194.560000000001</v>
      </c>
      <c r="N61" s="779"/>
      <c r="O61" s="779"/>
      <c r="P61" s="773"/>
      <c r="Q61" s="773"/>
      <c r="R61" s="40" t="s">
        <v>13</v>
      </c>
      <c r="S61" s="468">
        <v>252</v>
      </c>
      <c r="T61" s="479">
        <f t="shared" si="12"/>
        <v>3506</v>
      </c>
      <c r="U61" s="493">
        <f t="shared" si="13"/>
        <v>0</v>
      </c>
      <c r="V61" s="443"/>
    </row>
    <row r="62" spans="1:22" x14ac:dyDescent="0.25">
      <c r="A62" s="721"/>
      <c r="B62" s="721"/>
      <c r="C62" s="143">
        <v>0.24</v>
      </c>
      <c r="D62" s="143">
        <v>0</v>
      </c>
      <c r="E62" s="116">
        <f t="shared" si="10"/>
        <v>0.48</v>
      </c>
      <c r="F62" s="463" t="s">
        <v>13</v>
      </c>
      <c r="G62" s="462">
        <v>253</v>
      </c>
      <c r="H62" s="476">
        <f>'1461'!H62</f>
        <v>7023</v>
      </c>
      <c r="I62" s="101">
        <f t="shared" si="11"/>
        <v>3371.04</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42</v>
      </c>
      <c r="D66" s="97">
        <f>SUM(D57:D65)</f>
        <v>0</v>
      </c>
      <c r="E66" s="97">
        <f>SUM(E57:E65)</f>
        <v>84</v>
      </c>
      <c r="F66" s="708" t="s">
        <v>464</v>
      </c>
      <c r="G66" s="708"/>
      <c r="H66" s="708"/>
      <c r="I66" s="97">
        <f>SUM(I57:I65)</f>
        <v>133548.84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984.16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4.6810000000000003E-3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1070.2254</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4.5560000000000002E-3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984.16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5.2440000000000004E-3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984.16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4.6889999999999996E-3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984.16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5.254E-3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4.6889999999999996E-3</v>
      </c>
      <c r="I85" s="101">
        <f>ROUND(F85*H85,2)</f>
        <v>216461.61</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4.6810000000000003E-3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5.254E-3</v>
      </c>
      <c r="I90" s="101">
        <f>ROUND(F90*H90,2)</f>
        <v>100046.8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5.2440000000000004E-3</v>
      </c>
      <c r="I92" s="101">
        <f t="shared" ref="I92:I96" si="14">ROUND(F92*H92,2)</f>
        <v>59997.4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4.5560000000000002E-3</v>
      </c>
      <c r="I94" s="101">
        <f t="shared" si="14"/>
        <v>1165228.05</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4.5560000000000002E-3</v>
      </c>
      <c r="I96" s="101">
        <f t="shared" si="14"/>
        <v>-7223.81</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4.6810000000000003E-3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528.92139999999995</v>
      </c>
      <c r="D104" s="703"/>
      <c r="E104" s="46">
        <f>H8</f>
        <v>1.0407999999999999</v>
      </c>
      <c r="F104" s="302">
        <f>'1461'!F104</f>
        <v>950.92</v>
      </c>
      <c r="G104" s="39" t="s">
        <v>12</v>
      </c>
      <c r="H104" s="101">
        <f>ROUND(C104*E104*F104,2)</f>
        <v>523482.78</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541.30399999999997</v>
      </c>
      <c r="D105" s="703"/>
      <c r="E105" s="46">
        <f>H8</f>
        <v>1.0407999999999999</v>
      </c>
      <c r="F105" s="302">
        <f>'1461'!F105</f>
        <v>907.92</v>
      </c>
      <c r="G105" s="39" t="s">
        <v>12</v>
      </c>
      <c r="H105" s="101">
        <f>ROUND(C105*E105*F105,2)</f>
        <v>511512.33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1070.2253999999998</v>
      </c>
      <c r="D107" s="716"/>
      <c r="E107" s="123"/>
      <c r="F107" s="123"/>
      <c r="G107" s="123"/>
      <c r="H107" s="124" t="s">
        <v>100</v>
      </c>
      <c r="I107" s="101">
        <f>IF(A1=75,0,H106+H105+H104)</f>
        <v>1034995.1100000001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16">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1</v>
      </c>
      <c r="D114" s="143">
        <v>0</v>
      </c>
      <c r="E114" s="116">
        <f>(C114+D114)/2</f>
        <v>0.5</v>
      </c>
      <c r="F114" s="126" t="s">
        <v>30</v>
      </c>
      <c r="G114" s="303">
        <f>'1461'!G114</f>
        <v>1821</v>
      </c>
      <c r="I114" s="101">
        <f>ROUND(G114*E114,2)</f>
        <v>910.5</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8642660</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8209789.2999999998</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8209789.2999999998</v>
      </c>
      <c r="I135" s="94">
        <f>ROUND(IF(E30=0,0,IF(E30&gt;250,-(((250/E30)*H135)*IF(G135="H",0.02,0.05)),IF(G135="H",-0.02*H135,-0.05*H135))),2)</f>
        <v>-104274.07</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8538385.9299999997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-3900199.82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4638186.1099999994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662598.02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306215.40000000002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CCCC"/>
  </sheetPr>
  <dimension ref="A1:V221"/>
  <sheetViews>
    <sheetView topLeftCell="A25" workbookViewId="0">
      <selection activeCell="C60" sqref="C60: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130</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248.07</v>
      </c>
      <c r="D16" s="143">
        <v>0</v>
      </c>
      <c r="E16" s="116">
        <f t="shared" si="1"/>
        <v>496.14</v>
      </c>
      <c r="F16" s="788">
        <f>'1461'!F16:G16</f>
        <v>1</v>
      </c>
      <c r="G16" s="788"/>
      <c r="H16" s="80">
        <f t="shared" si="2"/>
        <v>496.14</v>
      </c>
      <c r="I16" s="101">
        <f t="shared" si="3"/>
        <v>2752824.84</v>
      </c>
      <c r="N16" s="747" t="s">
        <v>22</v>
      </c>
      <c r="O16" s="747"/>
      <c r="P16" s="789">
        <f t="shared" si="0"/>
        <v>0</v>
      </c>
      <c r="Q16" s="789"/>
      <c r="R16" s="793">
        <v>1</v>
      </c>
      <c r="S16" s="793"/>
      <c r="T16" s="95">
        <f t="shared" si="4"/>
        <v>0</v>
      </c>
      <c r="U16" s="492">
        <f t="shared" si="5"/>
        <v>0</v>
      </c>
    </row>
    <row r="17" spans="1:21" x14ac:dyDescent="0.25">
      <c r="A17" s="705" t="s">
        <v>23</v>
      </c>
      <c r="B17" s="705"/>
      <c r="C17" s="143">
        <v>44.5</v>
      </c>
      <c r="D17" s="143">
        <v>0</v>
      </c>
      <c r="E17" s="116">
        <f t="shared" si="1"/>
        <v>89</v>
      </c>
      <c r="F17" s="788">
        <f>'1461'!F17:G17</f>
        <v>1</v>
      </c>
      <c r="G17" s="788"/>
      <c r="H17" s="80">
        <f t="shared" si="2"/>
        <v>89</v>
      </c>
      <c r="I17" s="101">
        <f t="shared" si="3"/>
        <v>493815.07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5.51</v>
      </c>
      <c r="D27" s="143">
        <v>0</v>
      </c>
      <c r="E27" s="116">
        <f t="shared" si="1"/>
        <v>11.02</v>
      </c>
      <c r="F27" s="788">
        <f>'1461'!F27:G27</f>
        <v>1.1919999999999999</v>
      </c>
      <c r="G27" s="788"/>
      <c r="H27" s="80">
        <f t="shared" si="2"/>
        <v>13.1358</v>
      </c>
      <c r="I27" s="101">
        <f t="shared" si="3"/>
        <v>72883.78</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298.08</v>
      </c>
      <c r="D30" s="94">
        <f>SUM(D14:D29)</f>
        <v>0</v>
      </c>
      <c r="E30" s="94">
        <f>SUM(E14:E29)</f>
        <v>596.16</v>
      </c>
      <c r="F30" s="724"/>
      <c r="G30" s="724"/>
      <c r="H30" s="99">
        <f>SUM(H14:H29)</f>
        <v>598.2758</v>
      </c>
      <c r="I30" s="94">
        <f>SUM(I14:I29)</f>
        <v>3319523.6899999995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3639483.68</v>
      </c>
      <c r="G51" s="109" t="s">
        <v>6</v>
      </c>
      <c r="H51" s="420">
        <v>5.5899999999999998E-2</v>
      </c>
      <c r="I51" s="101">
        <f>ROUND(F51*H51,2)</f>
        <v>203447.14</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3639483.68</v>
      </c>
      <c r="G52" s="109" t="s">
        <v>6</v>
      </c>
      <c r="H52" s="420">
        <v>1.0699999999999999E-2</v>
      </c>
      <c r="I52" s="101">
        <f>ROUND(F52*H52,2)</f>
        <v>38942.480000000003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242389.62000000002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IF(D$72=0,C57*2,C57+D57)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41.38</v>
      </c>
      <c r="D60" s="143">
        <v>0</v>
      </c>
      <c r="E60" s="116">
        <f>IF(D$66=0,C60*2,C60+D60)</f>
        <v>82.76</v>
      </c>
      <c r="F60" s="463" t="s">
        <v>13</v>
      </c>
      <c r="G60" s="462">
        <v>251</v>
      </c>
      <c r="H60" s="476">
        <f>'1461'!H60</f>
        <v>1173</v>
      </c>
      <c r="I60" s="101">
        <f t="shared" si="11"/>
        <v>97077.48</v>
      </c>
      <c r="N60" s="779"/>
      <c r="O60" s="779"/>
      <c r="P60" s="773"/>
      <c r="Q60" s="773"/>
      <c r="R60" s="40" t="s">
        <v>13</v>
      </c>
      <c r="S60" s="468">
        <v>251</v>
      </c>
      <c r="T60" s="479">
        <f t="shared" si="12"/>
        <v>1173</v>
      </c>
      <c r="U60" s="493">
        <f t="shared" si="13"/>
        <v>0</v>
      </c>
      <c r="V60" s="443"/>
    </row>
    <row r="61" spans="1:22" x14ac:dyDescent="0.25">
      <c r="A61" s="721"/>
      <c r="B61" s="721"/>
      <c r="C61" s="143">
        <v>2.91</v>
      </c>
      <c r="D61" s="143">
        <v>0</v>
      </c>
      <c r="E61" s="116">
        <f>IF(D$66=0,C61*2,C61+D61)</f>
        <v>5.82</v>
      </c>
      <c r="F61" s="463" t="s">
        <v>13</v>
      </c>
      <c r="G61" s="462">
        <v>252</v>
      </c>
      <c r="H61" s="476">
        <f>'1461'!H61</f>
        <v>3506</v>
      </c>
      <c r="I61" s="101">
        <f t="shared" si="11"/>
        <v>20404.919999999998</v>
      </c>
      <c r="N61" s="779"/>
      <c r="O61" s="779"/>
      <c r="P61" s="773"/>
      <c r="Q61" s="773"/>
      <c r="R61" s="40" t="s">
        <v>13</v>
      </c>
      <c r="S61" s="468">
        <v>252</v>
      </c>
      <c r="T61" s="479">
        <f t="shared" si="12"/>
        <v>3506</v>
      </c>
      <c r="U61" s="493">
        <f t="shared" si="13"/>
        <v>0</v>
      </c>
      <c r="V61" s="443"/>
    </row>
    <row r="62" spans="1:22" x14ac:dyDescent="0.25">
      <c r="A62" s="721"/>
      <c r="B62" s="721"/>
      <c r="C62" s="143">
        <v>0.21</v>
      </c>
      <c r="D62" s="143">
        <v>0</v>
      </c>
      <c r="E62" s="116">
        <f>IF(D$66=0,C62*2,C62+D62)</f>
        <v>0.42</v>
      </c>
      <c r="F62" s="463" t="s">
        <v>13</v>
      </c>
      <c r="G62" s="462">
        <v>253</v>
      </c>
      <c r="H62" s="476">
        <f>'1461'!H62</f>
        <v>7023</v>
      </c>
      <c r="I62" s="101">
        <f t="shared" si="11"/>
        <v>2949.66</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44.500000000000007</v>
      </c>
      <c r="D66" s="97">
        <f>SUM(D57:D65)</f>
        <v>0</v>
      </c>
      <c r="E66" s="97">
        <f>SUM(E57:E65)</f>
        <v>89.000000000000014</v>
      </c>
      <c r="F66" s="708" t="s">
        <v>464</v>
      </c>
      <c r="G66" s="708"/>
      <c r="H66" s="708"/>
      <c r="I66" s="97">
        <f>SUM(I57:I65)</f>
        <v>120432.06</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596.16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2.836E-3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598.2758</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2.5469999999999998E-3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596.16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3.1770000000000001E-3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596.16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2.8400000000000001E-3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596.16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3.1819999999999999E-3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2.8400000000000001E-3</v>
      </c>
      <c r="I85" s="101">
        <f>ROUND(F85*H85,2)</f>
        <v>131104.92000000001</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2.836E-3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3.1819999999999999E-3</v>
      </c>
      <c r="I90" s="101">
        <f>ROUND(F90*H90,2)</f>
        <v>60591.73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3.1770000000000001E-3</v>
      </c>
      <c r="I92" s="101">
        <f t="shared" ref="I92:I96" si="14">ROUND(F92*H92,2)</f>
        <v>36348.54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2.5469999999999998E-3</v>
      </c>
      <c r="I94" s="101">
        <f t="shared" si="14"/>
        <v>651412.61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2.5469999999999998E-3</v>
      </c>
      <c r="I96" s="101">
        <f t="shared" si="14"/>
        <v>-4038.42</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2.836E-3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598.2758</v>
      </c>
      <c r="D105" s="703"/>
      <c r="E105" s="46">
        <f>H8</f>
        <v>1.0407999999999999</v>
      </c>
      <c r="F105" s="302">
        <f>'1461'!F105</f>
        <v>907.92</v>
      </c>
      <c r="G105" s="39" t="s">
        <v>12</v>
      </c>
      <c r="H105" s="101">
        <f>ROUND(C105*E105*F105,2)</f>
        <v>565348.57999999996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598.2758</v>
      </c>
      <c r="D107" s="716"/>
      <c r="E107" s="123"/>
      <c r="F107" s="123"/>
      <c r="G107" s="123"/>
      <c r="H107" s="124" t="s">
        <v>100</v>
      </c>
      <c r="I107" s="101">
        <f>IF(A1=75,0,H106+H105+H104)</f>
        <v>565348.57999999996</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v>
      </c>
      <c r="D113" s="143">
        <v>4</v>
      </c>
      <c r="E113" s="116">
        <f>(C113+D113)/2</f>
        <v>2.5</v>
      </c>
      <c r="F113" s="126" t="s">
        <v>30</v>
      </c>
      <c r="G113" s="303">
        <f>'1461'!G113</f>
        <v>567</v>
      </c>
      <c r="I113" s="101">
        <f>ROUND(G113*E113,2)</f>
        <v>1417.5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4882141.21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4639751.59</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4639751.59</v>
      </c>
      <c r="I135" s="94">
        <f>ROUND(IF(E30=0,0,IF(E30&gt;250,-(((250/E30)*H135)*IF(G135="H",0.02,0.05)),IF(G135="H",-0.02*H135,-0.05*H135))),2)</f>
        <v>-38913.64</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4843227.57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-2217702.7599999998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2625524.8100000005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375074.97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53881.39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CCCC"/>
  </sheetPr>
  <dimension ref="A1:V221"/>
  <sheetViews>
    <sheetView topLeftCell="A25" workbookViewId="0">
      <selection activeCell="C28" sqref="C28:C2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131</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444.17</v>
      </c>
      <c r="D18" s="143">
        <v>0</v>
      </c>
      <c r="E18" s="116">
        <f t="shared" si="1"/>
        <v>888.34</v>
      </c>
      <c r="F18" s="788">
        <f>'1461'!F18:G18</f>
        <v>0.97799999999999998</v>
      </c>
      <c r="G18" s="788"/>
      <c r="H18" s="80">
        <f t="shared" si="2"/>
        <v>868.79650000000004</v>
      </c>
      <c r="I18" s="101">
        <f t="shared" si="3"/>
        <v>4820503.47</v>
      </c>
      <c r="N18" s="747" t="s">
        <v>24</v>
      </c>
      <c r="O18" s="747"/>
      <c r="P18" s="789">
        <f t="shared" si="0"/>
        <v>0</v>
      </c>
      <c r="Q18" s="789"/>
      <c r="R18" s="793">
        <v>1</v>
      </c>
      <c r="S18" s="793"/>
      <c r="T18" s="95">
        <f t="shared" si="4"/>
        <v>0</v>
      </c>
      <c r="U18" s="492">
        <f t="shared" si="5"/>
        <v>0</v>
      </c>
    </row>
    <row r="19" spans="1:21" x14ac:dyDescent="0.25">
      <c r="A19" s="705" t="s">
        <v>25</v>
      </c>
      <c r="B19" s="705"/>
      <c r="C19" s="143">
        <v>39.89</v>
      </c>
      <c r="D19" s="143">
        <v>0</v>
      </c>
      <c r="E19" s="116">
        <f t="shared" si="1"/>
        <v>79.78</v>
      </c>
      <c r="F19" s="788">
        <f>'1461'!F19:G19</f>
        <v>0.97799999999999998</v>
      </c>
      <c r="G19" s="788"/>
      <c r="H19" s="80">
        <f t="shared" si="2"/>
        <v>78.024799999999999</v>
      </c>
      <c r="I19" s="101">
        <f t="shared" si="3"/>
        <v>432919.35</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6.15</v>
      </c>
      <c r="D28" s="143">
        <v>0</v>
      </c>
      <c r="E28" s="116">
        <f t="shared" si="1"/>
        <v>12.3</v>
      </c>
      <c r="F28" s="788">
        <f>'1461'!F28:G28</f>
        <v>1.1919999999999999</v>
      </c>
      <c r="G28" s="788"/>
      <c r="H28" s="80">
        <f t="shared" si="2"/>
        <v>14.6616</v>
      </c>
      <c r="I28" s="101">
        <f t="shared" si="3"/>
        <v>81349.649999999994</v>
      </c>
      <c r="N28" s="747" t="s">
        <v>87</v>
      </c>
      <c r="O28" s="747"/>
      <c r="P28" s="789">
        <f t="shared" si="0"/>
        <v>0</v>
      </c>
      <c r="Q28" s="789"/>
      <c r="R28" s="793">
        <v>1</v>
      </c>
      <c r="S28" s="793"/>
      <c r="T28" s="95">
        <f t="shared" si="4"/>
        <v>0</v>
      </c>
      <c r="U28" s="492">
        <f t="shared" si="5"/>
        <v>0</v>
      </c>
    </row>
    <row r="29" spans="1:21" x14ac:dyDescent="0.25">
      <c r="A29" s="705" t="s">
        <v>88</v>
      </c>
      <c r="B29" s="705"/>
      <c r="C29" s="110">
        <v>20.46</v>
      </c>
      <c r="D29" s="110">
        <v>0</v>
      </c>
      <c r="E29" s="154">
        <f t="shared" si="1"/>
        <v>40.92</v>
      </c>
      <c r="F29" s="788">
        <f>'1461'!F29:G29</f>
        <v>1.079</v>
      </c>
      <c r="G29" s="788"/>
      <c r="H29" s="93">
        <f t="shared" si="2"/>
        <v>44.152700000000003</v>
      </c>
      <c r="I29" s="94">
        <f t="shared" si="3"/>
        <v>244980.55</v>
      </c>
      <c r="N29" s="748" t="s">
        <v>88</v>
      </c>
      <c r="O29" s="748"/>
      <c r="P29" s="789">
        <f t="shared" si="0"/>
        <v>0</v>
      </c>
      <c r="Q29" s="789"/>
      <c r="R29" s="790">
        <v>1</v>
      </c>
      <c r="S29" s="790"/>
      <c r="T29" s="95">
        <f t="shared" si="4"/>
        <v>0</v>
      </c>
      <c r="U29" s="492">
        <f t="shared" si="5"/>
        <v>0</v>
      </c>
    </row>
    <row r="30" spans="1:21" x14ac:dyDescent="0.25">
      <c r="A30" s="708" t="s">
        <v>5</v>
      </c>
      <c r="B30" s="708"/>
      <c r="C30" s="94">
        <f>SUM(C14:C29)</f>
        <v>510.66999999999996</v>
      </c>
      <c r="D30" s="94">
        <f>SUM(D14:D29)</f>
        <v>0</v>
      </c>
      <c r="E30" s="94">
        <f>SUM(E14:E29)</f>
        <v>1021.3399999999999</v>
      </c>
      <c r="F30" s="724"/>
      <c r="G30" s="724"/>
      <c r="H30" s="99">
        <f>SUM(H14:H29)</f>
        <v>1005.6356000000001</v>
      </c>
      <c r="I30" s="94">
        <f>SUM(I14:I29)</f>
        <v>5579753.0199999996</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5466527.3399999999</v>
      </c>
      <c r="G51" s="109" t="s">
        <v>6</v>
      </c>
      <c r="H51" s="420">
        <v>5.5899999999999998E-2</v>
      </c>
      <c r="I51" s="101">
        <f>ROUND(F51*H51,2)</f>
        <v>305578.88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5466527.3399999999</v>
      </c>
      <c r="G52" s="109" t="s">
        <v>6</v>
      </c>
      <c r="H52" s="420">
        <v>1.0699999999999999E-2</v>
      </c>
      <c r="I52" s="101">
        <f>ROUND(F52*H52,2)</f>
        <v>58491.839999999997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364070.72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39.15</v>
      </c>
      <c r="D63" s="143">
        <v>0</v>
      </c>
      <c r="E63" s="116">
        <f t="shared" si="10"/>
        <v>78.3</v>
      </c>
      <c r="F63" s="463" t="s">
        <v>14</v>
      </c>
      <c r="G63" s="462">
        <v>251</v>
      </c>
      <c r="H63" s="476">
        <f>'1461'!H63</f>
        <v>835</v>
      </c>
      <c r="I63" s="101">
        <f t="shared" si="11"/>
        <v>65380.5</v>
      </c>
      <c r="N63" s="779"/>
      <c r="O63" s="779"/>
      <c r="P63" s="773"/>
      <c r="Q63" s="773"/>
      <c r="R63" s="40" t="s">
        <v>14</v>
      </c>
      <c r="S63" s="468">
        <v>251</v>
      </c>
      <c r="T63" s="479">
        <f t="shared" si="12"/>
        <v>835</v>
      </c>
      <c r="U63" s="493">
        <f t="shared" si="13"/>
        <v>0</v>
      </c>
      <c r="V63" s="443"/>
    </row>
    <row r="64" spans="1:22" x14ac:dyDescent="0.25">
      <c r="A64" s="721"/>
      <c r="B64" s="721"/>
      <c r="C64" s="143">
        <v>0.74</v>
      </c>
      <c r="D64" s="143">
        <v>0</v>
      </c>
      <c r="E64" s="116">
        <f t="shared" si="10"/>
        <v>1.48</v>
      </c>
      <c r="F64" s="463" t="s">
        <v>14</v>
      </c>
      <c r="G64" s="462">
        <v>252</v>
      </c>
      <c r="H64" s="476">
        <f>'1461'!H64</f>
        <v>3168</v>
      </c>
      <c r="I64" s="101">
        <f t="shared" si="11"/>
        <v>4688.6400000000003</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39.89</v>
      </c>
      <c r="D66" s="97">
        <f>SUM(D57:D65)</f>
        <v>0</v>
      </c>
      <c r="E66" s="97">
        <f>SUM(E57:E65)</f>
        <v>79.78</v>
      </c>
      <c r="F66" s="708" t="s">
        <v>464</v>
      </c>
      <c r="G66" s="708"/>
      <c r="H66" s="708"/>
      <c r="I66" s="97">
        <f>SUM(I57:I65)</f>
        <v>70069.14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1021.3399999999999</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4.8580000000000003E-3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1005.6356000000001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4.2810000000000001E-3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1021.3399999999999</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5.4419999999999998E-3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1021.3399999999999</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4.8659999999999997E-3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1021.3399999999999</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5.4520000000000002E-3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4.8659999999999997E-3</v>
      </c>
      <c r="I85" s="101">
        <f>ROUND(F85*H85,2)</f>
        <v>224632.58</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4.8580000000000003E-3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5.4520000000000002E-3</v>
      </c>
      <c r="I90" s="101">
        <f>ROUND(F90*H90,2)</f>
        <v>103817.13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5.4419999999999998E-3</v>
      </c>
      <c r="I92" s="101">
        <f t="shared" ref="I92:I96" si="14">ROUND(F92*H92,2)</f>
        <v>62262.74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4.2810000000000001E-3</v>
      </c>
      <c r="I94" s="101">
        <f t="shared" si="14"/>
        <v>1094894.93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4.2810000000000001E-3</v>
      </c>
      <c r="I96" s="101">
        <f t="shared" si="14"/>
        <v>-6787.78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4.8580000000000003E-3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1005.6356000000001</v>
      </c>
      <c r="D106" s="703"/>
      <c r="E106" s="46">
        <f>H8</f>
        <v>1.0407999999999999</v>
      </c>
      <c r="F106" s="302">
        <f>'1461'!F106</f>
        <v>910.12</v>
      </c>
      <c r="G106" s="39" t="s">
        <v>12</v>
      </c>
      <c r="H106" s="94">
        <f>ROUND(C106*E106*F106,2)</f>
        <v>952591.23</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1005.6356000000001</v>
      </c>
      <c r="D107" s="716"/>
      <c r="E107" s="123"/>
      <c r="F107" s="123"/>
      <c r="G107" s="123"/>
      <c r="H107" s="124" t="s">
        <v>100</v>
      </c>
      <c r="I107" s="101">
        <f>IF(A1=75,0,H106+H105+H104)</f>
        <v>952591.23</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3</v>
      </c>
      <c r="D113" s="143">
        <v>0</v>
      </c>
      <c r="E113" s="116">
        <f>(C113+D113)/2</f>
        <v>1.5</v>
      </c>
      <c r="F113" s="126" t="s">
        <v>30</v>
      </c>
      <c r="G113" s="303">
        <f>'1461'!G113</f>
        <v>567</v>
      </c>
      <c r="I113" s="101">
        <f>ROUND(G113*E113,2)</f>
        <v>850.5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8082083.4899999984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7718012.7699999986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7718012.7699999986</v>
      </c>
      <c r="I135" s="94">
        <f>ROUND(IF(E30=0,0,IF(E30&gt;250,-(((250/E30)*H135)*IF(G135="H",0.02,0.05)),IF(G135="H",-0.02*H135,-0.05*H135))),2)</f>
        <v>-37783.760000000002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8044299.7299999986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-3282526.8899999997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4761772.8399999989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680253.26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116576.5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FFCCCC"/>
  </sheetPr>
  <dimension ref="A1:V221"/>
  <sheetViews>
    <sheetView topLeftCell="A28"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348</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229.06</v>
      </c>
      <c r="D14" s="141">
        <v>0</v>
      </c>
      <c r="E14" s="187">
        <f>IF(D$30=0,C14*2,C14+D14)</f>
        <v>458.12</v>
      </c>
      <c r="F14" s="797">
        <f>'1461'!F14:G14</f>
        <v>1.1180000000000001</v>
      </c>
      <c r="G14" s="797"/>
      <c r="H14" s="145">
        <f>ROUND(E14*F14,4)</f>
        <v>512.17819999999995</v>
      </c>
      <c r="I14" s="111">
        <f>ROUND(ROUND(ROUND(H14*$C$8,4)*($H$8),2)*(MAX($H$9,1)),2)</f>
        <v>2841812.54</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32.5</v>
      </c>
      <c r="D15" s="143">
        <v>0</v>
      </c>
      <c r="E15" s="116">
        <f t="shared" ref="E15:E29" si="1">IF(D$30=0,C15*2,C15+D15)</f>
        <v>65</v>
      </c>
      <c r="F15" s="788">
        <f>'1461'!F15:G15</f>
        <v>1.1180000000000001</v>
      </c>
      <c r="G15" s="788"/>
      <c r="H15" s="80">
        <f t="shared" ref="H15:H29" si="2">ROUND(E15*F15,4)</f>
        <v>72.67</v>
      </c>
      <c r="I15" s="101">
        <f t="shared" ref="I15:I29" si="3">ROUND(ROUND(ROUND(H15*$C$8,4)*($H$8),2)*(MAX($H$9,1)),2)</f>
        <v>403208.33</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282.52999999999997</v>
      </c>
      <c r="D16" s="143">
        <v>0</v>
      </c>
      <c r="E16" s="116">
        <f t="shared" si="1"/>
        <v>565.05999999999995</v>
      </c>
      <c r="F16" s="788">
        <f>'1461'!F16:G16</f>
        <v>1</v>
      </c>
      <c r="G16" s="788"/>
      <c r="H16" s="80">
        <f t="shared" si="2"/>
        <v>565.05999999999995</v>
      </c>
      <c r="I16" s="101">
        <f t="shared" si="3"/>
        <v>3135226.36</v>
      </c>
      <c r="N16" s="747" t="s">
        <v>22</v>
      </c>
      <c r="O16" s="747"/>
      <c r="P16" s="789">
        <f t="shared" si="0"/>
        <v>0</v>
      </c>
      <c r="Q16" s="789"/>
      <c r="R16" s="793">
        <v>1</v>
      </c>
      <c r="S16" s="793"/>
      <c r="T16" s="95">
        <f t="shared" si="4"/>
        <v>0</v>
      </c>
      <c r="U16" s="492">
        <f t="shared" si="5"/>
        <v>0</v>
      </c>
    </row>
    <row r="17" spans="1:21" x14ac:dyDescent="0.25">
      <c r="A17" s="705" t="s">
        <v>23</v>
      </c>
      <c r="B17" s="705"/>
      <c r="C17" s="143">
        <v>42.5</v>
      </c>
      <c r="D17" s="143">
        <v>0</v>
      </c>
      <c r="E17" s="116">
        <f t="shared" si="1"/>
        <v>85</v>
      </c>
      <c r="F17" s="788">
        <f>'1461'!F17:G17</f>
        <v>1</v>
      </c>
      <c r="G17" s="788"/>
      <c r="H17" s="80">
        <f t="shared" si="2"/>
        <v>85</v>
      </c>
      <c r="I17" s="101">
        <f t="shared" si="3"/>
        <v>471621.14</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24.21</v>
      </c>
      <c r="D26" s="143">
        <v>0</v>
      </c>
      <c r="E26" s="116">
        <f t="shared" si="1"/>
        <v>48.42</v>
      </c>
      <c r="F26" s="788">
        <f>'1461'!F26:G26</f>
        <v>1.1919999999999999</v>
      </c>
      <c r="G26" s="788"/>
      <c r="H26" s="80">
        <f t="shared" si="2"/>
        <v>57.7166</v>
      </c>
      <c r="I26" s="101">
        <f t="shared" si="3"/>
        <v>320239.63</v>
      </c>
      <c r="N26" s="747" t="s">
        <v>85</v>
      </c>
      <c r="O26" s="747"/>
      <c r="P26" s="789">
        <f t="shared" si="0"/>
        <v>0</v>
      </c>
      <c r="Q26" s="789"/>
      <c r="R26" s="793">
        <v>1</v>
      </c>
      <c r="S26" s="793"/>
      <c r="T26" s="95">
        <f t="shared" si="4"/>
        <v>0</v>
      </c>
      <c r="U26" s="492">
        <f t="shared" si="5"/>
        <v>0</v>
      </c>
    </row>
    <row r="27" spans="1:21" x14ac:dyDescent="0.25">
      <c r="A27" s="705" t="s">
        <v>86</v>
      </c>
      <c r="B27" s="705"/>
      <c r="C27" s="143">
        <v>11.93</v>
      </c>
      <c r="D27" s="143">
        <v>0</v>
      </c>
      <c r="E27" s="116">
        <f t="shared" si="1"/>
        <v>23.86</v>
      </c>
      <c r="F27" s="788">
        <f>'1461'!F27:G27</f>
        <v>1.1919999999999999</v>
      </c>
      <c r="G27" s="788"/>
      <c r="H27" s="80">
        <f t="shared" si="2"/>
        <v>28.441099999999999</v>
      </c>
      <c r="I27" s="101">
        <f t="shared" si="3"/>
        <v>157804.99</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622.7299999999999</v>
      </c>
      <c r="D30" s="94">
        <f>SUM(D14:D29)</f>
        <v>0</v>
      </c>
      <c r="E30" s="94">
        <f>SUM(E14:E29)</f>
        <v>1245.4599999999998</v>
      </c>
      <c r="F30" s="724"/>
      <c r="G30" s="724"/>
      <c r="H30" s="99">
        <f>SUM(H14:H29)</f>
        <v>1321.0658999999998</v>
      </c>
      <c r="I30" s="94">
        <f>SUM(I14:I29)</f>
        <v>7329912.9900000002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6991619.7000000002</v>
      </c>
      <c r="G51" s="109" t="s">
        <v>6</v>
      </c>
      <c r="H51" s="420">
        <v>5.5899999999999998E-2</v>
      </c>
      <c r="I51" s="101">
        <f>ROUND(F51*H51,2)</f>
        <v>390831.54</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6991619.7000000002</v>
      </c>
      <c r="G52" s="109" t="s">
        <v>6</v>
      </c>
      <c r="H52" s="420">
        <v>1.0699999999999999E-2</v>
      </c>
      <c r="I52" s="101">
        <f>ROUND(F52*H52,2)</f>
        <v>74810.33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465641.87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27.900000000000002</v>
      </c>
      <c r="D57" s="143">
        <v>0</v>
      </c>
      <c r="E57" s="116">
        <f t="shared" ref="E57:E65" si="10">IF(D$66=0,C57*2,C57+D57)</f>
        <v>55.800000000000004</v>
      </c>
      <c r="F57" s="462" t="s">
        <v>455</v>
      </c>
      <c r="G57" s="462">
        <v>251</v>
      </c>
      <c r="H57" s="476">
        <f>'1461'!H57</f>
        <v>1047</v>
      </c>
      <c r="I57" s="101">
        <f>ROUND(E57*H57,2)</f>
        <v>58422.6</v>
      </c>
      <c r="N57" s="778" t="s">
        <v>463</v>
      </c>
      <c r="O57" s="778"/>
      <c r="P57" s="780"/>
      <c r="Q57" s="780"/>
      <c r="R57" s="468" t="s">
        <v>455</v>
      </c>
      <c r="S57" s="468">
        <v>251</v>
      </c>
      <c r="T57" s="479">
        <f>H57</f>
        <v>1047</v>
      </c>
      <c r="U57" s="493">
        <f>ROUND(P57*T57,2)</f>
        <v>0</v>
      </c>
      <c r="V57" s="443"/>
    </row>
    <row r="58" spans="1:22" x14ac:dyDescent="0.25">
      <c r="A58" s="721"/>
      <c r="B58" s="721"/>
      <c r="C58" s="143">
        <v>4</v>
      </c>
      <c r="D58" s="143">
        <v>0</v>
      </c>
      <c r="E58" s="116">
        <f t="shared" si="10"/>
        <v>8</v>
      </c>
      <c r="F58" s="462" t="s">
        <v>455</v>
      </c>
      <c r="G58" s="462">
        <v>252</v>
      </c>
      <c r="H58" s="476">
        <f>'1461'!H58</f>
        <v>3380</v>
      </c>
      <c r="I58" s="101">
        <f t="shared" ref="I58:I65" si="11">ROUND(E58*H58,2)</f>
        <v>27040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0.6</v>
      </c>
      <c r="D59" s="143">
        <v>0</v>
      </c>
      <c r="E59" s="116">
        <f t="shared" si="10"/>
        <v>1.2</v>
      </c>
      <c r="F59" s="462" t="s">
        <v>455</v>
      </c>
      <c r="G59" s="462">
        <v>253</v>
      </c>
      <c r="H59" s="476">
        <f>'1461'!H59</f>
        <v>6896</v>
      </c>
      <c r="I59" s="101">
        <f t="shared" si="11"/>
        <v>8275.2000000000007</v>
      </c>
      <c r="N59" s="779"/>
      <c r="O59" s="779"/>
      <c r="P59" s="773"/>
      <c r="Q59" s="773"/>
      <c r="R59" s="468" t="s">
        <v>455</v>
      </c>
      <c r="S59" s="468">
        <v>253</v>
      </c>
      <c r="T59" s="479">
        <f t="shared" si="12"/>
        <v>6896</v>
      </c>
      <c r="U59" s="493">
        <f t="shared" si="13"/>
        <v>0</v>
      </c>
      <c r="V59" s="443"/>
    </row>
    <row r="60" spans="1:22" x14ac:dyDescent="0.25">
      <c r="A60" s="721"/>
      <c r="B60" s="721"/>
      <c r="C60" s="143">
        <v>38.03</v>
      </c>
      <c r="D60" s="143">
        <v>0</v>
      </c>
      <c r="E60" s="116">
        <f t="shared" si="10"/>
        <v>76.06</v>
      </c>
      <c r="F60" s="463" t="s">
        <v>13</v>
      </c>
      <c r="G60" s="462">
        <v>251</v>
      </c>
      <c r="H60" s="476">
        <f>'1461'!H60</f>
        <v>1173</v>
      </c>
      <c r="I60" s="101">
        <f t="shared" si="11"/>
        <v>89218.38</v>
      </c>
      <c r="N60" s="779"/>
      <c r="O60" s="779"/>
      <c r="P60" s="773"/>
      <c r="Q60" s="773"/>
      <c r="R60" s="40" t="s">
        <v>13</v>
      </c>
      <c r="S60" s="468">
        <v>251</v>
      </c>
      <c r="T60" s="479">
        <f t="shared" si="12"/>
        <v>1173</v>
      </c>
      <c r="U60" s="493">
        <f t="shared" si="13"/>
        <v>0</v>
      </c>
      <c r="V60" s="443"/>
    </row>
    <row r="61" spans="1:22" x14ac:dyDescent="0.25">
      <c r="A61" s="721"/>
      <c r="B61" s="721"/>
      <c r="C61" s="143">
        <v>4.47</v>
      </c>
      <c r="D61" s="143">
        <v>0</v>
      </c>
      <c r="E61" s="116">
        <f t="shared" si="10"/>
        <v>8.94</v>
      </c>
      <c r="F61" s="463" t="s">
        <v>13</v>
      </c>
      <c r="G61" s="462">
        <v>252</v>
      </c>
      <c r="H61" s="476">
        <f>'1461'!H61</f>
        <v>3506</v>
      </c>
      <c r="I61" s="101">
        <f t="shared" si="11"/>
        <v>31343.64</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75</v>
      </c>
      <c r="D66" s="97">
        <f>SUM(D57:D65)</f>
        <v>0</v>
      </c>
      <c r="E66" s="97">
        <f>SUM(E57:E65)</f>
        <v>150</v>
      </c>
      <c r="F66" s="708" t="s">
        <v>464</v>
      </c>
      <c r="G66" s="708"/>
      <c r="H66" s="708"/>
      <c r="I66" s="97">
        <f>SUM(I57:I65)</f>
        <v>214299.82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1245.4599999999998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5.9239999999999996E-3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1321.0658999999998</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5.6239999999999997E-3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1245.4599999999998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6.6369999999999997E-3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1245.4599999999998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5.934E-3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1245.4599999999998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6.6490000000000004E-3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5.934E-3</v>
      </c>
      <c r="I85" s="101">
        <f>ROUND(F85*H85,2)</f>
        <v>273935.42</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5.9239999999999996E-3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6.6490000000000004E-3</v>
      </c>
      <c r="I90" s="101">
        <f>ROUND(F90*H90,2)</f>
        <v>126610.43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6.6369999999999997E-3</v>
      </c>
      <c r="I92" s="101">
        <f t="shared" ref="I92:I96" si="14">ROUND(F92*H92,2)</f>
        <v>75934.92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5.6239999999999997E-3</v>
      </c>
      <c r="I94" s="101">
        <f t="shared" si="14"/>
        <v>1438376.33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5.6239999999999997E-3</v>
      </c>
      <c r="I96" s="101">
        <f t="shared" si="14"/>
        <v>-8917.18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5.9239999999999996E-3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642.56479999999988</v>
      </c>
      <c r="D104" s="703"/>
      <c r="E104" s="46">
        <f>H8</f>
        <v>1.0407999999999999</v>
      </c>
      <c r="F104" s="302">
        <f>'1461'!F104</f>
        <v>950.92</v>
      </c>
      <c r="G104" s="39" t="s">
        <v>12</v>
      </c>
      <c r="H104" s="101">
        <f>ROUND(C104*E104*F104,2)</f>
        <v>635957.65</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678.50109999999995</v>
      </c>
      <c r="D105" s="703"/>
      <c r="E105" s="46">
        <f>H8</f>
        <v>1.0407999999999999</v>
      </c>
      <c r="F105" s="302">
        <f>'1461'!F105</f>
        <v>907.92</v>
      </c>
      <c r="G105" s="39" t="s">
        <v>12</v>
      </c>
      <c r="H105" s="101">
        <f>ROUND(C105*E105*F105,2)</f>
        <v>641158.53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1321.0658999999998</v>
      </c>
      <c r="D107" s="716"/>
      <c r="E107" s="123"/>
      <c r="F107" s="123"/>
      <c r="G107" s="123"/>
      <c r="H107" s="124" t="s">
        <v>100</v>
      </c>
      <c r="I107" s="101">
        <f>IF(A1=75,0,H106+H105+H104)</f>
        <v>1277116.1800000002</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186</v>
      </c>
      <c r="D113" s="143">
        <v>211</v>
      </c>
      <c r="E113" s="116">
        <f>(C113+D113)/2</f>
        <v>198.5</v>
      </c>
      <c r="F113" s="126" t="s">
        <v>30</v>
      </c>
      <c r="G113" s="303">
        <f>'1461'!G113</f>
        <v>567</v>
      </c>
      <c r="I113" s="101">
        <f>ROUND(G113*E113,2)</f>
        <v>112549.5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10839818.41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10374176.540000001</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10374176.540000001</v>
      </c>
      <c r="I135" s="94">
        <f>ROUND(IF(E30=0,0,IF(E30&gt;250,-(((250/E30)*H135)*IF(G135="H",0.02,0.05)),IF(G135="H",-0.02*H135,-0.05*H135))),2)</f>
        <v>-104119.93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10735698.48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-4257458.6099999994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6478239.870000001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925462.84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414588.9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topLeftCell="B1" workbookViewId="0">
      <selection activeCell="F32" sqref="F32"/>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28" t="s">
        <v>15</v>
      </c>
      <c r="C1" s="729"/>
      <c r="D1" s="729"/>
      <c r="E1" s="729"/>
      <c r="F1" s="729"/>
      <c r="G1" s="729"/>
      <c r="H1" s="729"/>
      <c r="I1" s="729"/>
    </row>
    <row r="2" spans="1:9" ht="21" x14ac:dyDescent="0.35">
      <c r="A2" s="1" t="s">
        <v>253</v>
      </c>
      <c r="B2" s="2"/>
      <c r="C2" s="2"/>
      <c r="D2" s="2"/>
      <c r="E2" s="2"/>
      <c r="F2" s="2"/>
      <c r="G2" s="2"/>
      <c r="H2" s="2"/>
      <c r="I2" s="2"/>
    </row>
    <row r="3" spans="1:9" x14ac:dyDescent="0.25">
      <c r="A3" s="81" t="str">
        <f>'1461'!A3</f>
        <v>Based on the FLDOE 2024-25 Second Calculation</v>
      </c>
    </row>
    <row r="4" spans="1:9" x14ac:dyDescent="0.25">
      <c r="A4" s="730" t="s">
        <v>0</v>
      </c>
      <c r="B4" s="730"/>
      <c r="C4" s="731" t="s">
        <v>9</v>
      </c>
      <c r="D4" s="731"/>
      <c r="E4" s="731"/>
      <c r="F4" s="562" t="s">
        <v>547</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32" t="str">
        <f>'1461'!A7:I7</f>
        <v>1A.   2023-24 FEFP State and Local Funding</v>
      </c>
      <c r="B7" s="732"/>
      <c r="C7" s="732"/>
      <c r="D7" s="732"/>
      <c r="E7" s="732"/>
      <c r="F7" s="732"/>
      <c r="G7" s="732"/>
      <c r="H7" s="732"/>
      <c r="I7" s="732"/>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409</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2024</v>
      </c>
      <c r="D11" s="88" t="str">
        <f>'1461'!D11</f>
        <v>Feb 2025</v>
      </c>
      <c r="E11" s="89" t="s">
        <v>8</v>
      </c>
      <c r="F11" s="733" t="s">
        <v>1</v>
      </c>
      <c r="G11" s="733"/>
      <c r="H11" s="10" t="s">
        <v>60</v>
      </c>
      <c r="I11" s="11" t="s">
        <v>27</v>
      </c>
    </row>
    <row r="12" spans="1:9" x14ac:dyDescent="0.25">
      <c r="A12" s="725" t="s">
        <v>1</v>
      </c>
      <c r="B12" s="725"/>
      <c r="C12" s="454" t="str">
        <f>'1461'!C12</f>
        <v>FTE</v>
      </c>
      <c r="D12" s="454" t="str">
        <f>'1461'!D12</f>
        <v>FTE</v>
      </c>
      <c r="E12" s="90" t="s">
        <v>2</v>
      </c>
      <c r="F12" s="734" t="s">
        <v>63</v>
      </c>
      <c r="G12" s="734"/>
      <c r="H12" s="17" t="s">
        <v>59</v>
      </c>
      <c r="I12" s="407" t="s">
        <v>413</v>
      </c>
    </row>
    <row r="13" spans="1:9" x14ac:dyDescent="0.25">
      <c r="A13" s="735" t="s">
        <v>36</v>
      </c>
      <c r="B13" s="735"/>
      <c r="C13" s="91"/>
      <c r="D13" s="91"/>
      <c r="E13" s="675" t="s">
        <v>37</v>
      </c>
      <c r="F13" s="736" t="s">
        <v>38</v>
      </c>
      <c r="G13" s="736"/>
      <c r="H13" s="20" t="s">
        <v>39</v>
      </c>
      <c r="I13" s="385" t="s">
        <v>40</v>
      </c>
    </row>
    <row r="14" spans="1:9" x14ac:dyDescent="0.25">
      <c r="A14" s="726" t="s">
        <v>20</v>
      </c>
      <c r="B14" s="726"/>
      <c r="C14" s="141">
        <f>SUM('0040:4131'!C14)</f>
        <v>2084.37</v>
      </c>
      <c r="D14" s="141">
        <f>SUM('0040:4131'!D14)</f>
        <v>0</v>
      </c>
      <c r="E14" s="116">
        <f>SUM('0040:4131'!E14)</f>
        <v>4168.74</v>
      </c>
      <c r="F14" s="727">
        <f>'1461'!F14:G14</f>
        <v>1.1180000000000001</v>
      </c>
      <c r="G14" s="727"/>
      <c r="H14" s="145">
        <f>SUM('1461:4131'!H14)</f>
        <v>4660.6513000000004</v>
      </c>
      <c r="I14" s="101">
        <f>SUM('0040:4131'!I14)</f>
        <v>25859549.109999999</v>
      </c>
    </row>
    <row r="15" spans="1:9" x14ac:dyDescent="0.25">
      <c r="A15" s="705" t="s">
        <v>21</v>
      </c>
      <c r="B15" s="705"/>
      <c r="C15" s="143">
        <f>SUM('0040:4131'!C15)</f>
        <v>295.5</v>
      </c>
      <c r="D15" s="143">
        <f>SUM('0040:4131'!D15)</f>
        <v>0</v>
      </c>
      <c r="E15" s="116">
        <f>SUM('0040:4131'!E15)</f>
        <v>591</v>
      </c>
      <c r="F15" s="722">
        <f>'1461'!F15:G15</f>
        <v>1.1180000000000001</v>
      </c>
      <c r="G15" s="722"/>
      <c r="H15" s="80">
        <f>SUM('1461:4131'!H15)</f>
        <v>660.73800000000006</v>
      </c>
      <c r="I15" s="101">
        <f>SUM('0040:4131'!I15)</f>
        <v>3666094.2300000004</v>
      </c>
    </row>
    <row r="16" spans="1:9" x14ac:dyDescent="0.25">
      <c r="A16" s="705" t="s">
        <v>22</v>
      </c>
      <c r="B16" s="705"/>
      <c r="C16" s="143">
        <f>SUM('0040:4131'!C16)</f>
        <v>3340.2799999999997</v>
      </c>
      <c r="D16" s="143">
        <f>SUM('0040:4131'!D16)</f>
        <v>0</v>
      </c>
      <c r="E16" s="116">
        <f>SUM('0040:4131'!E16)</f>
        <v>6680.5599999999995</v>
      </c>
      <c r="F16" s="722">
        <f>'1461'!F16:G16</f>
        <v>1</v>
      </c>
      <c r="G16" s="722"/>
      <c r="H16" s="80">
        <f>SUM('1461:4131'!H16)</f>
        <v>6659.5599999999995</v>
      </c>
      <c r="I16" s="101">
        <f>SUM('0040:4131'!I16)</f>
        <v>37066980.140000001</v>
      </c>
    </row>
    <row r="17" spans="1:9" x14ac:dyDescent="0.25">
      <c r="A17" s="705" t="s">
        <v>23</v>
      </c>
      <c r="B17" s="705"/>
      <c r="C17" s="143">
        <f>SUM('0040:4131'!C17)</f>
        <v>596.06000000000006</v>
      </c>
      <c r="D17" s="143">
        <f>SUM('0040:4131'!D17)</f>
        <v>0</v>
      </c>
      <c r="E17" s="116">
        <f>SUM('0040:4131'!E17)</f>
        <v>1192.1200000000001</v>
      </c>
      <c r="F17" s="722">
        <f>'1461'!F17:G17</f>
        <v>1</v>
      </c>
      <c r="G17" s="722"/>
      <c r="H17" s="80">
        <f>SUM('1461:4131'!H17)</f>
        <v>1182.1200000000001</v>
      </c>
      <c r="I17" s="101">
        <f>SUM('0040:4131'!I17)</f>
        <v>6614458.7299999995</v>
      </c>
    </row>
    <row r="18" spans="1:9" x14ac:dyDescent="0.25">
      <c r="A18" s="705" t="s">
        <v>24</v>
      </c>
      <c r="B18" s="705"/>
      <c r="C18" s="143">
        <f>SUM('0040:4131'!C18)</f>
        <v>2242.3000000000002</v>
      </c>
      <c r="D18" s="143">
        <f>SUM('0040:4131'!D18)</f>
        <v>0</v>
      </c>
      <c r="E18" s="116">
        <f>SUM('0040:4131'!E18)</f>
        <v>4484.6000000000004</v>
      </c>
      <c r="F18" s="722">
        <f>'1461'!F18:G18</f>
        <v>0.97799999999999998</v>
      </c>
      <c r="G18" s="722"/>
      <c r="H18" s="80">
        <f>SUM('1461:4131'!H18)</f>
        <v>4385.9386999999997</v>
      </c>
      <c r="I18" s="101">
        <f>SUM('0040:4131'!I18)</f>
        <v>24335310.640000001</v>
      </c>
    </row>
    <row r="19" spans="1:9" x14ac:dyDescent="0.25">
      <c r="A19" s="705" t="s">
        <v>25</v>
      </c>
      <c r="B19" s="705"/>
      <c r="C19" s="143">
        <f>SUM('0040:4131'!C19)</f>
        <v>626.9899999999999</v>
      </c>
      <c r="D19" s="143">
        <f>SUM('0040:4131'!D19)</f>
        <v>0</v>
      </c>
      <c r="E19" s="116">
        <f>SUM('0040:4131'!E19)</f>
        <v>1253.9799999999998</v>
      </c>
      <c r="F19" s="722">
        <f>'1461'!F19:G19</f>
        <v>0.97799999999999998</v>
      </c>
      <c r="G19" s="722"/>
      <c r="H19" s="80">
        <f>SUM('1461:4131'!H19)</f>
        <v>1224.4364</v>
      </c>
      <c r="I19" s="101">
        <f>SUM('0040:4131'!I19)</f>
        <v>6804618.5799999982</v>
      </c>
    </row>
    <row r="20" spans="1:9" x14ac:dyDescent="0.25">
      <c r="A20" s="705" t="s">
        <v>79</v>
      </c>
      <c r="B20" s="705"/>
      <c r="C20" s="143">
        <f>SUM('0040:4131'!C20)</f>
        <v>92.5</v>
      </c>
      <c r="D20" s="143">
        <f>SUM('0040:4131'!D20)</f>
        <v>0</v>
      </c>
      <c r="E20" s="116">
        <f>SUM('0040:4131'!E20)</f>
        <v>185</v>
      </c>
      <c r="F20" s="722">
        <f>'1461'!F20:G20</f>
        <v>3.6970000000000001</v>
      </c>
      <c r="G20" s="722"/>
      <c r="H20" s="80">
        <f>SUM('1461:4131'!H20)</f>
        <v>658.06600000000003</v>
      </c>
      <c r="I20" s="101">
        <f>SUM('0040:4131'!I20)</f>
        <v>3794857.89</v>
      </c>
    </row>
    <row r="21" spans="1:9" x14ac:dyDescent="0.25">
      <c r="A21" s="705" t="s">
        <v>80</v>
      </c>
      <c r="B21" s="705"/>
      <c r="C21" s="143">
        <f>SUM('0040:4131'!C21)</f>
        <v>79</v>
      </c>
      <c r="D21" s="143">
        <f>SUM('0040:4131'!D21)</f>
        <v>0</v>
      </c>
      <c r="E21" s="116">
        <f>SUM('0040:4131'!E21)</f>
        <v>158</v>
      </c>
      <c r="F21" s="722">
        <f>'1461'!F21:G21</f>
        <v>3.6970000000000001</v>
      </c>
      <c r="G21" s="722"/>
      <c r="H21" s="80">
        <f>SUM('1461:4131'!H21)</f>
        <v>576.73200000000008</v>
      </c>
      <c r="I21" s="101">
        <f>SUM('0040:4131'!I21)</f>
        <v>3241013.75</v>
      </c>
    </row>
    <row r="22" spans="1:9" x14ac:dyDescent="0.25">
      <c r="A22" s="705" t="s">
        <v>81</v>
      </c>
      <c r="B22" s="705"/>
      <c r="C22" s="143">
        <f>SUM('0040:4131'!C22)</f>
        <v>57.93</v>
      </c>
      <c r="D22" s="143">
        <f>SUM('0040:4131'!D22)</f>
        <v>0</v>
      </c>
      <c r="E22" s="116">
        <f>SUM('0040:4131'!E22)</f>
        <v>115.86</v>
      </c>
      <c r="F22" s="722">
        <f>'1461'!F22:G22</f>
        <v>3.6970000000000001</v>
      </c>
      <c r="G22" s="722"/>
      <c r="H22" s="80">
        <f>SUM('1461:4131'!H22)</f>
        <v>428.33440000000002</v>
      </c>
      <c r="I22" s="101">
        <f>SUM('0040:4131'!I22)</f>
        <v>2376606.5600000005</v>
      </c>
    </row>
    <row r="23" spans="1:9" x14ac:dyDescent="0.25">
      <c r="A23" s="705" t="s">
        <v>82</v>
      </c>
      <c r="B23" s="705"/>
      <c r="C23" s="143">
        <f>SUM('0040:4131'!C23)</f>
        <v>46</v>
      </c>
      <c r="D23" s="143">
        <f>SUM('0040:4131'!D23)</f>
        <v>0</v>
      </c>
      <c r="E23" s="116">
        <f>SUM('0040:4131'!E23)</f>
        <v>92</v>
      </c>
      <c r="F23" s="722">
        <f>'1461'!F23:G23</f>
        <v>5.992</v>
      </c>
      <c r="G23" s="722"/>
      <c r="H23" s="80">
        <f>SUM('1461:4131'!H23)</f>
        <v>551.26400000000001</v>
      </c>
      <c r="I23" s="101">
        <f>SUM('0040:4131'!I23)</f>
        <v>3058679.4699999997</v>
      </c>
    </row>
    <row r="24" spans="1:9" x14ac:dyDescent="0.25">
      <c r="A24" s="705" t="s">
        <v>83</v>
      </c>
      <c r="B24" s="705"/>
      <c r="C24" s="143">
        <f>SUM('0040:4131'!C24)</f>
        <v>49.5</v>
      </c>
      <c r="D24" s="143">
        <f>SUM('0040:4131'!D24)</f>
        <v>0</v>
      </c>
      <c r="E24" s="116">
        <f>SUM('0040:4131'!E24)</f>
        <v>99</v>
      </c>
      <c r="F24" s="722">
        <f>'1461'!F24:G24</f>
        <v>5.992</v>
      </c>
      <c r="G24" s="722"/>
      <c r="H24" s="80">
        <f>SUM('1461:4131'!H24)</f>
        <v>593.20800000000008</v>
      </c>
      <c r="I24" s="101">
        <f>SUM('0040:4131'!I24)</f>
        <v>3291405.08</v>
      </c>
    </row>
    <row r="25" spans="1:9" x14ac:dyDescent="0.25">
      <c r="A25" s="705" t="s">
        <v>84</v>
      </c>
      <c r="B25" s="705"/>
      <c r="C25" s="143">
        <f>SUM('0040:4131'!C25)</f>
        <v>40</v>
      </c>
      <c r="D25" s="143">
        <f>SUM('0040:4131'!D25)</f>
        <v>0</v>
      </c>
      <c r="E25" s="116">
        <f>SUM('0040:4131'!E25)</f>
        <v>80</v>
      </c>
      <c r="F25" s="722">
        <f>'1461'!F25:G25</f>
        <v>5.992</v>
      </c>
      <c r="G25" s="722"/>
      <c r="H25" s="80">
        <f>SUM('1461:4131'!H25)</f>
        <v>479.36</v>
      </c>
      <c r="I25" s="101">
        <f>SUM('0040:4131'!I25)</f>
        <v>2659721.2800000003</v>
      </c>
    </row>
    <row r="26" spans="1:9" x14ac:dyDescent="0.25">
      <c r="A26" s="705" t="s">
        <v>85</v>
      </c>
      <c r="B26" s="705"/>
      <c r="C26" s="143">
        <f>SUM('0040:4131'!C26)</f>
        <v>576.17999999999995</v>
      </c>
      <c r="D26" s="143">
        <f>SUM('0040:4131'!D26)</f>
        <v>0</v>
      </c>
      <c r="E26" s="116">
        <f>SUM('0040:4131'!E26)</f>
        <v>1152.3599999999999</v>
      </c>
      <c r="F26" s="722">
        <f>'1461'!F26:G26</f>
        <v>1.1919999999999999</v>
      </c>
      <c r="G26" s="722"/>
      <c r="H26" s="80">
        <f>SUM('1461:4131'!H26)</f>
        <v>1373.6128999999999</v>
      </c>
      <c r="I26" s="101">
        <f>SUM('0040:4131'!I26)</f>
        <v>7621469.1799999997</v>
      </c>
    </row>
    <row r="27" spans="1:9" x14ac:dyDescent="0.25">
      <c r="A27" s="705" t="s">
        <v>86</v>
      </c>
      <c r="B27" s="705"/>
      <c r="C27" s="143">
        <f>SUM('0040:4131'!C27)</f>
        <v>328.55</v>
      </c>
      <c r="D27" s="143">
        <f>SUM('0040:4131'!D27)</f>
        <v>0</v>
      </c>
      <c r="E27" s="116">
        <f>SUM('0040:4131'!E27)</f>
        <v>657.1</v>
      </c>
      <c r="F27" s="722">
        <f>'1461'!F27:G27</f>
        <v>1.1919999999999999</v>
      </c>
      <c r="G27" s="722"/>
      <c r="H27" s="80">
        <f>SUM('1461:4131'!H27)</f>
        <v>777.30310000000009</v>
      </c>
      <c r="I27" s="101">
        <f>SUM('0040:4131'!I27)</f>
        <v>4345922.7899999991</v>
      </c>
    </row>
    <row r="28" spans="1:9" x14ac:dyDescent="0.25">
      <c r="A28" s="705" t="s">
        <v>87</v>
      </c>
      <c r="B28" s="705"/>
      <c r="C28" s="143">
        <f>SUM('0040:4131'!C28)</f>
        <v>155.80000000000001</v>
      </c>
      <c r="D28" s="143">
        <f>SUM('0040:4131'!D28)</f>
        <v>0</v>
      </c>
      <c r="E28" s="116">
        <f>SUM('0040:4131'!E28)</f>
        <v>311.60000000000002</v>
      </c>
      <c r="F28" s="722">
        <f>'1461'!F28:G28</f>
        <v>1.1919999999999999</v>
      </c>
      <c r="G28" s="722"/>
      <c r="H28" s="80">
        <f>SUM('1461:4131'!H28)</f>
        <v>371.42720000000003</v>
      </c>
      <c r="I28" s="101">
        <f>SUM('0040:4131'!I28)</f>
        <v>2060857.88</v>
      </c>
    </row>
    <row r="29" spans="1:9" x14ac:dyDescent="0.25">
      <c r="A29" s="705" t="s">
        <v>88</v>
      </c>
      <c r="B29" s="705"/>
      <c r="C29" s="110">
        <f>SUM('0040:4131'!C29)</f>
        <v>287.02999999999997</v>
      </c>
      <c r="D29" s="110">
        <f>SUM('0040:4131'!D29)</f>
        <v>0</v>
      </c>
      <c r="E29" s="116">
        <f>SUM('0040:4131'!E29)</f>
        <v>574.05999999999995</v>
      </c>
      <c r="F29" s="722">
        <f>'1461'!F29:G29</f>
        <v>1.079</v>
      </c>
      <c r="G29" s="722"/>
      <c r="H29" s="93">
        <f>SUM('1461:4131'!H29)</f>
        <v>619.41089999999997</v>
      </c>
      <c r="I29" s="101">
        <f>SUM('0040:4131'!I29)</f>
        <v>3436791.4600000004</v>
      </c>
    </row>
    <row r="30" spans="1:9" x14ac:dyDescent="0.25">
      <c r="A30" s="723" t="s">
        <v>153</v>
      </c>
      <c r="B30" s="709"/>
      <c r="C30" s="111">
        <f>SUM(C14:C29)</f>
        <v>10897.99</v>
      </c>
      <c r="D30" s="111">
        <f>SUM(D14:D29)</f>
        <v>0</v>
      </c>
      <c r="E30" s="187">
        <f>SUM(E14:E29)</f>
        <v>21795.98</v>
      </c>
      <c r="F30" s="724"/>
      <c r="G30" s="724"/>
      <c r="H30" s="145">
        <f>SUM(H14:H29)</f>
        <v>25202.162899999996</v>
      </c>
      <c r="I30" s="111">
        <f>SUM(I14:I29)</f>
        <v>140234336.77000001</v>
      </c>
    </row>
    <row r="31" spans="1:9" x14ac:dyDescent="0.25">
      <c r="A31" s="81" t="s">
        <v>154</v>
      </c>
      <c r="B31" s="156"/>
      <c r="C31" s="143">
        <f>Virtual!E22</f>
        <v>0</v>
      </c>
      <c r="D31" s="143">
        <f>Virtual!E23</f>
        <v>0</v>
      </c>
      <c r="E31" s="116">
        <f>IF(D$30=0,C31*2,C31+D31)</f>
        <v>0</v>
      </c>
      <c r="F31" s="722">
        <v>0.7</v>
      </c>
      <c r="G31" s="722"/>
      <c r="H31" s="80">
        <f t="shared" ref="H31" si="0">ROUND(E31*F31,4)</f>
        <v>0</v>
      </c>
      <c r="I31" s="101">
        <f>Virtual!E28</f>
        <v>0</v>
      </c>
    </row>
    <row r="32" spans="1:9" x14ac:dyDescent="0.25">
      <c r="A32" s="723" t="s">
        <v>155</v>
      </c>
      <c r="B32" s="709"/>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10"/>
      <c r="C35" s="101"/>
      <c r="D35" s="101"/>
      <c r="E35" s="101"/>
      <c r="F35" s="505"/>
      <c r="G35" s="505"/>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25" t="s">
        <v>50</v>
      </c>
      <c r="B38" s="725"/>
      <c r="C38" s="340" t="s">
        <v>2</v>
      </c>
      <c r="D38" s="340" t="s">
        <v>2</v>
      </c>
      <c r="E38" s="90" t="s">
        <v>2</v>
      </c>
      <c r="F38" s="105"/>
      <c r="G38" s="105"/>
      <c r="H38" s="105"/>
      <c r="I38" s="31" t="s">
        <v>62</v>
      </c>
    </row>
    <row r="39" spans="1:9" hidden="1" x14ac:dyDescent="0.25">
      <c r="A39" s="726" t="s">
        <v>45</v>
      </c>
      <c r="B39" s="726"/>
      <c r="C39" s="147">
        <f>SUM('1461:4111'!C38)</f>
        <v>0</v>
      </c>
      <c r="D39" s="147">
        <f>SUM('1461:4111'!D38)</f>
        <v>0</v>
      </c>
      <c r="E39" s="187">
        <f>SUM('1461:4111'!E38)</f>
        <v>0</v>
      </c>
      <c r="F39" s="148"/>
      <c r="G39" s="148"/>
      <c r="H39" s="148"/>
      <c r="I39" s="111">
        <f>SUM('1461:4111'!I38)</f>
        <v>0</v>
      </c>
    </row>
    <row r="40" spans="1:9" hidden="1" x14ac:dyDescent="0.25">
      <c r="A40" s="705" t="s">
        <v>46</v>
      </c>
      <c r="B40" s="705"/>
      <c r="C40" s="150">
        <f>SUM('1461:4111'!C39)</f>
        <v>0</v>
      </c>
      <c r="D40" s="150">
        <f>SUM('1461:4111'!D39)</f>
        <v>0</v>
      </c>
      <c r="E40" s="116">
        <f>SUM('1461:4111'!E39)</f>
        <v>0</v>
      </c>
      <c r="F40" s="151"/>
      <c r="G40" s="151"/>
      <c r="H40" s="151"/>
      <c r="I40" s="101">
        <f>SUM('1461:4111'!I39)</f>
        <v>0</v>
      </c>
    </row>
    <row r="41" spans="1:9" hidden="1" x14ac:dyDescent="0.25">
      <c r="A41" s="712" t="s">
        <v>47</v>
      </c>
      <c r="B41" s="712"/>
      <c r="C41" s="150">
        <f>SUM('1461:4111'!C40)</f>
        <v>0</v>
      </c>
      <c r="D41" s="150">
        <f>SUM('1461:4111'!D40)</f>
        <v>0</v>
      </c>
      <c r="E41" s="116">
        <f>SUM('1461:4111'!E40)</f>
        <v>0</v>
      </c>
      <c r="F41" s="151"/>
      <c r="G41" s="151"/>
      <c r="H41" s="151"/>
      <c r="I41" s="101">
        <f>SUM('1461:4111'!I40)</f>
        <v>0</v>
      </c>
    </row>
    <row r="42" spans="1:9" hidden="1" x14ac:dyDescent="0.25">
      <c r="A42" s="705" t="s">
        <v>48</v>
      </c>
      <c r="B42" s="705"/>
      <c r="C42" s="150">
        <f>SUM('1461:4111'!C41)</f>
        <v>0</v>
      </c>
      <c r="D42" s="150">
        <f>SUM('1461:4111'!D41)</f>
        <v>0</v>
      </c>
      <c r="E42" s="116">
        <f>SUM('1461:4111'!E41)</f>
        <v>0</v>
      </c>
      <c r="F42" s="151"/>
      <c r="G42" s="151"/>
      <c r="H42" s="151"/>
      <c r="I42" s="101">
        <f>SUM('1461:4111'!I41)</f>
        <v>0</v>
      </c>
    </row>
    <row r="43" spans="1:9" hidden="1" x14ac:dyDescent="0.25">
      <c r="A43" s="705" t="s">
        <v>49</v>
      </c>
      <c r="B43" s="705"/>
      <c r="C43" s="150">
        <f>SUM('1461:4111'!C42)</f>
        <v>0</v>
      </c>
      <c r="D43" s="150">
        <f>SUM('1461:4111'!D42)</f>
        <v>0</v>
      </c>
      <c r="E43" s="116">
        <f>SUM('1461:4111'!E42)</f>
        <v>0</v>
      </c>
      <c r="F43" s="151"/>
      <c r="G43" s="151"/>
      <c r="H43" s="151"/>
      <c r="I43" s="101">
        <f>SUM('1461:4111'!I42)</f>
        <v>0</v>
      </c>
    </row>
    <row r="44" spans="1:9" hidden="1" x14ac:dyDescent="0.25">
      <c r="A44" s="705" t="s">
        <v>41</v>
      </c>
      <c r="B44" s="705"/>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414</v>
      </c>
      <c r="B50" s="26"/>
      <c r="C50" s="26"/>
      <c r="D50" s="26"/>
      <c r="E50" s="26"/>
      <c r="F50" s="34"/>
      <c r="G50" s="27"/>
      <c r="H50" s="27"/>
      <c r="I50" s="101"/>
    </row>
    <row r="51" spans="1:9" s="410" customFormat="1" ht="9" customHeight="1" x14ac:dyDescent="0.2">
      <c r="A51" s="409" t="s">
        <v>415</v>
      </c>
      <c r="F51" s="411"/>
      <c r="G51" s="412"/>
      <c r="H51" s="412"/>
      <c r="I51" s="413"/>
    </row>
    <row r="52" spans="1:9" s="410" customFormat="1" ht="11.25" customHeight="1" x14ac:dyDescent="0.2">
      <c r="A52" s="417" t="s">
        <v>416</v>
      </c>
      <c r="F52" s="411"/>
      <c r="G52" s="412"/>
      <c r="H52" s="412"/>
      <c r="I52" s="413"/>
    </row>
    <row r="53" spans="1:9" x14ac:dyDescent="0.25">
      <c r="A53" s="408"/>
      <c r="B53" s="3" t="s">
        <v>527</v>
      </c>
      <c r="C53" s="26"/>
      <c r="D53" s="26"/>
      <c r="E53" s="43" t="s">
        <v>417</v>
      </c>
      <c r="F53" s="419">
        <f>SUM('1461:4131'!F51)</f>
        <v>140901186.20000005</v>
      </c>
      <c r="G53" s="109" t="s">
        <v>6</v>
      </c>
      <c r="H53" s="420">
        <f>'1461'!H51</f>
        <v>5.5899999999999998E-2</v>
      </c>
      <c r="I53" s="101">
        <f>SUM('0040:4131'!I51)</f>
        <v>7848637.0700000003</v>
      </c>
    </row>
    <row r="54" spans="1:9" x14ac:dyDescent="0.25">
      <c r="A54" s="26"/>
      <c r="B54" s="578" t="s">
        <v>531</v>
      </c>
      <c r="C54" s="26"/>
      <c r="D54" s="26"/>
      <c r="E54" s="43" t="s">
        <v>417</v>
      </c>
      <c r="F54" s="419">
        <f>SUM('1461:4131'!F52)</f>
        <v>140901186.20000005</v>
      </c>
      <c r="G54" s="109" t="s">
        <v>6</v>
      </c>
      <c r="H54" s="420">
        <f>'1461'!H52</f>
        <v>1.0699999999999999E-2</v>
      </c>
      <c r="I54" s="94">
        <f>SUM('0040:4131'!I52)</f>
        <v>1498047.2600000002</v>
      </c>
    </row>
    <row r="55" spans="1:9" x14ac:dyDescent="0.25">
      <c r="A55" s="26"/>
      <c r="B55" s="81" t="s">
        <v>418</v>
      </c>
      <c r="C55" s="26"/>
      <c r="D55" s="26"/>
      <c r="E55" s="43"/>
      <c r="F55" s="419"/>
      <c r="G55" s="109"/>
      <c r="H55" s="420"/>
      <c r="I55" s="97">
        <f>SUM(I53:I54)</f>
        <v>9346684.3300000001</v>
      </c>
    </row>
    <row r="56" spans="1:9" x14ac:dyDescent="0.25">
      <c r="A56" s="26"/>
      <c r="B56" s="26"/>
      <c r="C56" s="26"/>
      <c r="D56" s="26"/>
      <c r="E56" s="26"/>
      <c r="F56" s="34"/>
      <c r="G56" s="27"/>
      <c r="H56" s="27"/>
      <c r="I56" s="101"/>
    </row>
    <row r="57" spans="1:9" x14ac:dyDescent="0.25">
      <c r="A57" s="510"/>
      <c r="B57" s="510"/>
      <c r="C57" s="88" t="str">
        <f>C11</f>
        <v>Oct 2024</v>
      </c>
      <c r="D57" s="349" t="str">
        <f t="shared" ref="D57:D58" si="1">D11</f>
        <v>Feb 2025</v>
      </c>
      <c r="E57" s="89" t="s">
        <v>8</v>
      </c>
      <c r="F57" s="46" t="s">
        <v>456</v>
      </c>
      <c r="G57" s="109" t="s">
        <v>457</v>
      </c>
      <c r="H57" s="473" t="s">
        <v>458</v>
      </c>
      <c r="I57" s="101"/>
    </row>
    <row r="58" spans="1:9" x14ac:dyDescent="0.25">
      <c r="A58" s="36" t="s">
        <v>459</v>
      </c>
      <c r="B58" s="36"/>
      <c r="C58" s="340" t="str">
        <f t="shared" ref="C58" si="2">C12</f>
        <v>FTE</v>
      </c>
      <c r="D58" s="340" t="str">
        <f t="shared" si="1"/>
        <v>FTE</v>
      </c>
      <c r="E58" s="90" t="s">
        <v>2</v>
      </c>
      <c r="F58" s="503" t="s">
        <v>460</v>
      </c>
      <c r="G58" s="506" t="s">
        <v>460</v>
      </c>
      <c r="H58" s="474" t="s">
        <v>461</v>
      </c>
      <c r="I58" s="36"/>
    </row>
    <row r="59" spans="1:9" ht="15.75" customHeight="1" x14ac:dyDescent="0.25">
      <c r="A59" s="720" t="s">
        <v>463</v>
      </c>
      <c r="B59" s="720"/>
      <c r="C59" s="143">
        <f>SUM('0040:4131'!C57)</f>
        <v>240.9</v>
      </c>
      <c r="D59" s="143">
        <f>SUM('0040:4131'!D57)</f>
        <v>0</v>
      </c>
      <c r="E59" s="116">
        <f>SUM('0040:4131'!E57)</f>
        <v>481.8</v>
      </c>
      <c r="F59" s="508" t="s">
        <v>455</v>
      </c>
      <c r="G59" s="508">
        <v>251</v>
      </c>
      <c r="H59" s="476">
        <f>'1461'!H57</f>
        <v>1047</v>
      </c>
      <c r="I59" s="101">
        <f>SUM('0040:4131'!I57)</f>
        <v>504444.6</v>
      </c>
    </row>
    <row r="60" spans="1:9" x14ac:dyDescent="0.25">
      <c r="A60" s="721"/>
      <c r="B60" s="721"/>
      <c r="C60" s="143">
        <f>SUM('0040:4131'!C58)</f>
        <v>40.699999999999996</v>
      </c>
      <c r="D60" s="143">
        <f>SUM('0040:4131'!D58)</f>
        <v>0</v>
      </c>
      <c r="E60" s="116">
        <f>SUM('0040:4131'!E58)</f>
        <v>81.399999999999991</v>
      </c>
      <c r="F60" s="508" t="s">
        <v>455</v>
      </c>
      <c r="G60" s="508">
        <v>252</v>
      </c>
      <c r="H60" s="476">
        <f>'1461'!H58</f>
        <v>3380</v>
      </c>
      <c r="I60" s="101">
        <f>SUM('0040:4131'!I58)</f>
        <v>275132</v>
      </c>
    </row>
    <row r="61" spans="1:9" x14ac:dyDescent="0.25">
      <c r="A61" s="721"/>
      <c r="B61" s="721"/>
      <c r="C61" s="143">
        <f>SUM('0040:4131'!C59)</f>
        <v>13.899999999999999</v>
      </c>
      <c r="D61" s="143">
        <f>SUM('0040:4131'!D59)</f>
        <v>0</v>
      </c>
      <c r="E61" s="116">
        <f>SUM('0040:4131'!E59)</f>
        <v>27.799999999999997</v>
      </c>
      <c r="F61" s="508" t="s">
        <v>455</v>
      </c>
      <c r="G61" s="508">
        <v>253</v>
      </c>
      <c r="H61" s="476">
        <f>'1461'!H59</f>
        <v>6896</v>
      </c>
      <c r="I61" s="101">
        <f>SUM('0040:4131'!I59)</f>
        <v>191708.80000000002</v>
      </c>
    </row>
    <row r="62" spans="1:9" x14ac:dyDescent="0.25">
      <c r="A62" s="721"/>
      <c r="B62" s="721"/>
      <c r="C62" s="143">
        <f>SUM('0040:4131'!C60)</f>
        <v>528.63</v>
      </c>
      <c r="D62" s="143">
        <f>SUM('0040:4131'!D60)</f>
        <v>0</v>
      </c>
      <c r="E62" s="116">
        <f>SUM('0040:4131'!E60)</f>
        <v>1057.26</v>
      </c>
      <c r="F62" s="509" t="s">
        <v>13</v>
      </c>
      <c r="G62" s="508">
        <v>251</v>
      </c>
      <c r="H62" s="476">
        <f>'1461'!H60</f>
        <v>1173</v>
      </c>
      <c r="I62" s="101">
        <f>SUM('0040:4131'!I60)</f>
        <v>1240165.98</v>
      </c>
    </row>
    <row r="63" spans="1:9" x14ac:dyDescent="0.25">
      <c r="A63" s="721"/>
      <c r="B63" s="721"/>
      <c r="C63" s="143">
        <f>SUM('0040:4131'!C61)</f>
        <v>51.02</v>
      </c>
      <c r="D63" s="143">
        <f>SUM('0040:4131'!D61)</f>
        <v>0</v>
      </c>
      <c r="E63" s="116">
        <f>SUM('0040:4131'!E61)</f>
        <v>102.04</v>
      </c>
      <c r="F63" s="509" t="s">
        <v>13</v>
      </c>
      <c r="G63" s="508">
        <v>252</v>
      </c>
      <c r="H63" s="476">
        <f>'1461'!H61</f>
        <v>3506</v>
      </c>
      <c r="I63" s="101">
        <f>SUM('0040:4131'!I61)</f>
        <v>357752.24000000011</v>
      </c>
    </row>
    <row r="64" spans="1:9" x14ac:dyDescent="0.25">
      <c r="A64" s="721"/>
      <c r="B64" s="721"/>
      <c r="C64" s="143">
        <f>SUM('0040:4131'!C62)</f>
        <v>16.410000000000004</v>
      </c>
      <c r="D64" s="143">
        <f>SUM('0040:4131'!D62)</f>
        <v>0</v>
      </c>
      <c r="E64" s="116">
        <f>SUM('0040:4131'!E62)</f>
        <v>32.820000000000007</v>
      </c>
      <c r="F64" s="509" t="s">
        <v>13</v>
      </c>
      <c r="G64" s="508">
        <v>253</v>
      </c>
      <c r="H64" s="476">
        <f>'1461'!H62</f>
        <v>7023</v>
      </c>
      <c r="I64" s="101">
        <f>SUM('0040:4131'!I62)</f>
        <v>230494.86000000002</v>
      </c>
    </row>
    <row r="65" spans="1:9" x14ac:dyDescent="0.25">
      <c r="A65" s="721"/>
      <c r="B65" s="721"/>
      <c r="C65" s="143">
        <f>SUM('0040:4131'!C63)</f>
        <v>444.28999999999991</v>
      </c>
      <c r="D65" s="143">
        <f>SUM('0040:4131'!D63)</f>
        <v>0</v>
      </c>
      <c r="E65" s="116">
        <f>SUM('0040:4131'!E63)</f>
        <v>888.57999999999981</v>
      </c>
      <c r="F65" s="509" t="s">
        <v>14</v>
      </c>
      <c r="G65" s="508">
        <v>251</v>
      </c>
      <c r="H65" s="476">
        <f>'1461'!H63</f>
        <v>835</v>
      </c>
      <c r="I65" s="101">
        <f>SUM('0040:4131'!I63)</f>
        <v>741964.29999999993</v>
      </c>
    </row>
    <row r="66" spans="1:9" x14ac:dyDescent="0.25">
      <c r="A66" s="721"/>
      <c r="B66" s="721"/>
      <c r="C66" s="143">
        <f>SUM('0040:4131'!C64)</f>
        <v>70.309999999999988</v>
      </c>
      <c r="D66" s="143">
        <f>SUM('0040:4131'!D64)</f>
        <v>0</v>
      </c>
      <c r="E66" s="116">
        <f>SUM('0040:4131'!E64)</f>
        <v>140.61999999999998</v>
      </c>
      <c r="F66" s="509" t="s">
        <v>14</v>
      </c>
      <c r="G66" s="508">
        <v>252</v>
      </c>
      <c r="H66" s="476">
        <f>'1461'!H64</f>
        <v>3168</v>
      </c>
      <c r="I66" s="101">
        <f>SUM('0040:4131'!I64)</f>
        <v>445484.16000000003</v>
      </c>
    </row>
    <row r="67" spans="1:9" x14ac:dyDescent="0.25">
      <c r="A67" s="721"/>
      <c r="B67" s="721"/>
      <c r="C67" s="143">
        <f>SUM('0040:4131'!C65)</f>
        <v>112.39</v>
      </c>
      <c r="D67" s="143">
        <f>SUM('0040:4131'!D65)</f>
        <v>0</v>
      </c>
      <c r="E67" s="116">
        <f>SUM('0040:4131'!E65)</f>
        <v>224.78</v>
      </c>
      <c r="F67" s="509" t="s">
        <v>14</v>
      </c>
      <c r="G67" s="508">
        <v>253</v>
      </c>
      <c r="H67" s="476">
        <f>'1461'!H65</f>
        <v>6685</v>
      </c>
      <c r="I67" s="101">
        <f>SUM('0040:4131'!I65)</f>
        <v>1502654.3</v>
      </c>
    </row>
    <row r="68" spans="1:9" x14ac:dyDescent="0.25">
      <c r="A68" s="504"/>
      <c r="C68" s="97">
        <f>SUM(C59:C67)</f>
        <v>1518.55</v>
      </c>
      <c r="D68" s="97">
        <f>SUM(D59:D67)</f>
        <v>0</v>
      </c>
      <c r="E68" s="97">
        <f>SUM(E59:E67)</f>
        <v>3037.1</v>
      </c>
      <c r="F68" s="708" t="s">
        <v>464</v>
      </c>
      <c r="G68" s="708"/>
      <c r="H68" s="708"/>
      <c r="I68" s="97">
        <f>SUM(I59:I67)</f>
        <v>5489801.2400000002</v>
      </c>
    </row>
    <row r="69" spans="1:9" x14ac:dyDescent="0.25">
      <c r="A69" s="510"/>
      <c r="B69" s="510"/>
      <c r="C69" s="561"/>
      <c r="D69" s="510"/>
      <c r="E69" s="510"/>
      <c r="F69" s="34"/>
      <c r="G69" s="505"/>
      <c r="H69" s="505"/>
      <c r="I69" s="101"/>
    </row>
    <row r="70" spans="1:9" x14ac:dyDescent="0.25">
      <c r="A70" s="507" t="s">
        <v>466</v>
      </c>
    </row>
    <row r="71" spans="1:9" x14ac:dyDescent="0.25">
      <c r="A71" s="704" t="s">
        <v>419</v>
      </c>
      <c r="B71" s="705"/>
      <c r="C71" s="112">
        <f>SUM('1461:4131'!C69)</f>
        <v>21748.98</v>
      </c>
      <c r="D71" s="718" t="s">
        <v>430</v>
      </c>
      <c r="E71" s="718"/>
      <c r="F71" s="718"/>
      <c r="G71" s="718"/>
      <c r="H71" s="287">
        <f>'1461'!H69</f>
        <v>210228.91</v>
      </c>
      <c r="I71" s="113"/>
    </row>
    <row r="72" spans="1:9" x14ac:dyDescent="0.25">
      <c r="B72" s="69"/>
      <c r="G72" s="42" t="s">
        <v>12</v>
      </c>
      <c r="H72" s="114">
        <f>ROUND(C71/H71,6)</f>
        <v>0.103454</v>
      </c>
      <c r="I72" s="115"/>
    </row>
    <row r="73" spans="1:9" x14ac:dyDescent="0.25">
      <c r="A73" s="507" t="s">
        <v>467</v>
      </c>
    </row>
    <row r="74" spans="1:9" x14ac:dyDescent="0.25">
      <c r="A74" s="704" t="s">
        <v>420</v>
      </c>
      <c r="B74" s="705"/>
      <c r="C74" s="432">
        <f>SUM('1461:4131'!C72)</f>
        <v>25202.162899999999</v>
      </c>
      <c r="D74" s="718" t="s">
        <v>431</v>
      </c>
      <c r="E74" s="718"/>
      <c r="F74" s="718"/>
      <c r="G74" s="718"/>
      <c r="H74" s="288">
        <f>'1461'!H72</f>
        <v>234891.44</v>
      </c>
      <c r="I74" s="116"/>
    </row>
    <row r="75" spans="1:9" x14ac:dyDescent="0.25">
      <c r="G75" s="42" t="s">
        <v>12</v>
      </c>
      <c r="H75" s="114">
        <f>ROUND(C74/H74,6)</f>
        <v>0.107293</v>
      </c>
      <c r="I75" s="114"/>
    </row>
    <row r="76" spans="1:9" x14ac:dyDescent="0.25">
      <c r="A76" s="436" t="s">
        <v>468</v>
      </c>
      <c r="B76" s="433"/>
      <c r="C76" s="433"/>
      <c r="D76" s="433"/>
      <c r="E76" s="433"/>
      <c r="F76" s="433"/>
      <c r="G76" s="433"/>
      <c r="H76" s="433"/>
      <c r="I76" s="433"/>
    </row>
    <row r="77" spans="1:9" x14ac:dyDescent="0.25">
      <c r="A77" s="704" t="s">
        <v>421</v>
      </c>
      <c r="B77" s="705"/>
      <c r="C77" s="112">
        <f>SUM('1461:4131'!C75)</f>
        <v>21748.98</v>
      </c>
      <c r="D77" s="717" t="s">
        <v>432</v>
      </c>
      <c r="E77" s="717"/>
      <c r="F77" s="717"/>
      <c r="G77" s="717"/>
      <c r="H77" s="287">
        <f>'1461'!H75</f>
        <v>187665.41</v>
      </c>
      <c r="I77" s="113"/>
    </row>
    <row r="78" spans="1:9" x14ac:dyDescent="0.25">
      <c r="B78" s="69"/>
      <c r="G78" s="42" t="s">
        <v>12</v>
      </c>
      <c r="H78" s="114">
        <f>ROUND(C77/H77,6)</f>
        <v>0.115892</v>
      </c>
      <c r="I78" s="115"/>
    </row>
    <row r="79" spans="1:9" x14ac:dyDescent="0.25">
      <c r="A79" s="436" t="s">
        <v>469</v>
      </c>
      <c r="B79" s="433"/>
      <c r="C79" s="433"/>
      <c r="D79" s="433"/>
      <c r="E79" s="433"/>
      <c r="F79" s="433"/>
      <c r="G79" s="433"/>
      <c r="H79" s="433"/>
      <c r="I79" s="433"/>
    </row>
    <row r="80" spans="1:9" x14ac:dyDescent="0.25">
      <c r="A80" s="704" t="s">
        <v>421</v>
      </c>
      <c r="B80" s="705"/>
      <c r="C80" s="112">
        <f>SUM('1461:4131'!C78)</f>
        <v>21748.98</v>
      </c>
      <c r="D80" s="713" t="s">
        <v>433</v>
      </c>
      <c r="E80" s="713"/>
      <c r="F80" s="713"/>
      <c r="G80" s="713"/>
      <c r="H80" s="287">
        <f>'1461'!H78</f>
        <v>209892.26</v>
      </c>
      <c r="I80" s="113"/>
    </row>
    <row r="81" spans="1:11" x14ac:dyDescent="0.25">
      <c r="B81" s="69"/>
      <c r="G81" s="42" t="s">
        <v>12</v>
      </c>
      <c r="H81" s="114">
        <f>ROUND(C80/H80,6)</f>
        <v>0.10362</v>
      </c>
      <c r="I81" s="115"/>
    </row>
    <row r="82" spans="1:11" x14ac:dyDescent="0.25">
      <c r="A82" s="436" t="s">
        <v>470</v>
      </c>
      <c r="B82" s="433"/>
      <c r="C82" s="433"/>
      <c r="D82" s="433"/>
      <c r="E82" s="433"/>
      <c r="F82" s="433"/>
      <c r="G82" s="433"/>
      <c r="H82" s="433"/>
      <c r="I82" s="433"/>
    </row>
    <row r="83" spans="1:11" x14ac:dyDescent="0.25">
      <c r="A83" s="704" t="s">
        <v>429</v>
      </c>
      <c r="B83" s="705"/>
      <c r="C83" s="112">
        <f>SUM('1461:4131'!C81)</f>
        <v>21748.98</v>
      </c>
      <c r="D83" s="717" t="s">
        <v>434</v>
      </c>
      <c r="E83" s="717"/>
      <c r="F83" s="717"/>
      <c r="G83" s="717"/>
      <c r="H83" s="287">
        <f>'1461'!H81</f>
        <v>187328.76</v>
      </c>
      <c r="I83" s="113"/>
    </row>
    <row r="84" spans="1:11" x14ac:dyDescent="0.25">
      <c r="B84" s="69"/>
      <c r="G84" s="42" t="s">
        <v>12</v>
      </c>
      <c r="H84" s="114">
        <f>ROUND(C83/H83,6)</f>
        <v>0.116101</v>
      </c>
      <c r="I84" s="115"/>
    </row>
    <row r="85" spans="1:11" x14ac:dyDescent="0.25">
      <c r="A85" s="241"/>
      <c r="G85" s="42"/>
      <c r="H85" s="114"/>
      <c r="I85" s="114"/>
    </row>
    <row r="86" spans="1:11" x14ac:dyDescent="0.25">
      <c r="A86" s="507" t="s">
        <v>471</v>
      </c>
      <c r="D86" s="69"/>
      <c r="E86" s="43" t="s">
        <v>316</v>
      </c>
      <c r="F86" s="289">
        <f>'1461'!F85</f>
        <v>46163704</v>
      </c>
      <c r="G86" s="37" t="s">
        <v>6</v>
      </c>
      <c r="H86" s="441">
        <f>H81</f>
        <v>0.10362</v>
      </c>
      <c r="I86" s="101">
        <f>SUM('1461:4131'!I85)</f>
        <v>4783390.67</v>
      </c>
      <c r="K86" s="236"/>
    </row>
    <row r="87" spans="1:11" x14ac:dyDescent="0.25">
      <c r="A87" s="418"/>
      <c r="D87" s="69"/>
      <c r="E87" s="43"/>
      <c r="F87" s="275"/>
      <c r="G87" s="37"/>
      <c r="H87" s="441"/>
      <c r="I87" s="101"/>
    </row>
    <row r="88" spans="1:11" x14ac:dyDescent="0.25">
      <c r="A88" s="719" t="s">
        <v>71</v>
      </c>
      <c r="B88" s="705"/>
      <c r="C88" s="705"/>
      <c r="D88" s="69"/>
      <c r="E88" s="43"/>
      <c r="F88" s="275"/>
      <c r="G88" s="37"/>
      <c r="H88" s="441"/>
      <c r="I88" s="101"/>
    </row>
    <row r="89" spans="1:11" ht="15.75" customHeight="1" x14ac:dyDescent="0.25">
      <c r="A89" s="719" t="s">
        <v>99</v>
      </c>
      <c r="B89" s="705"/>
      <c r="C89" s="705"/>
      <c r="D89" s="69"/>
      <c r="E89" s="43" t="s">
        <v>3</v>
      </c>
      <c r="F89" s="289">
        <f>'1461'!F88</f>
        <v>0</v>
      </c>
      <c r="G89" s="37" t="s">
        <v>6</v>
      </c>
      <c r="H89" s="441">
        <f>H72</f>
        <v>0.103454</v>
      </c>
      <c r="I89" s="101">
        <f>SUM('1461:4131'!I88)</f>
        <v>0</v>
      </c>
    </row>
    <row r="90" spans="1:11" ht="15.75" customHeight="1" x14ac:dyDescent="0.25">
      <c r="A90" s="450"/>
      <c r="B90" s="69"/>
      <c r="C90" s="69"/>
      <c r="D90" s="69"/>
      <c r="E90" s="43"/>
      <c r="F90" s="275"/>
      <c r="G90" s="37"/>
      <c r="H90" s="441"/>
      <c r="I90" s="101"/>
    </row>
    <row r="91" spans="1:11" x14ac:dyDescent="0.25">
      <c r="A91" s="507" t="s">
        <v>472</v>
      </c>
      <c r="D91" s="69"/>
      <c r="E91" s="43" t="s">
        <v>437</v>
      </c>
      <c r="F91" s="289">
        <f>'1461'!F90</f>
        <v>19042026</v>
      </c>
      <c r="G91" s="37" t="s">
        <v>6</v>
      </c>
      <c r="H91" s="441">
        <f>H84</f>
        <v>0.116101</v>
      </c>
      <c r="I91" s="101">
        <f>SUM('1461:4131'!I90)</f>
        <v>2210760.17</v>
      </c>
    </row>
    <row r="92" spans="1:11" x14ac:dyDescent="0.25">
      <c r="A92" s="418"/>
      <c r="D92" s="69"/>
      <c r="E92" s="43"/>
      <c r="F92" s="275"/>
      <c r="G92" s="37"/>
      <c r="H92" s="441"/>
      <c r="I92" s="101"/>
    </row>
    <row r="93" spans="1:11" x14ac:dyDescent="0.25">
      <c r="A93" s="507" t="s">
        <v>473</v>
      </c>
      <c r="D93" s="69"/>
      <c r="E93" s="43" t="s">
        <v>3</v>
      </c>
      <c r="F93" s="289">
        <f>'1461'!F92</f>
        <v>11441151</v>
      </c>
      <c r="G93" s="37" t="s">
        <v>6</v>
      </c>
      <c r="H93" s="441">
        <f>H78</f>
        <v>0.115892</v>
      </c>
      <c r="I93" s="101">
        <f>SUM('1461:4131'!I92)</f>
        <v>1325926.4299999997</v>
      </c>
    </row>
    <row r="94" spans="1:11" x14ac:dyDescent="0.25">
      <c r="A94" s="81"/>
      <c r="D94" s="69"/>
      <c r="E94" s="43"/>
      <c r="F94" s="116"/>
      <c r="G94" s="37"/>
      <c r="H94" s="437"/>
      <c r="I94" s="101"/>
    </row>
    <row r="95" spans="1:11" x14ac:dyDescent="0.25">
      <c r="A95" s="704" t="s">
        <v>438</v>
      </c>
      <c r="B95" s="705"/>
      <c r="C95" s="705"/>
      <c r="D95" s="69"/>
      <c r="E95" s="43" t="s">
        <v>4</v>
      </c>
      <c r="F95" s="289">
        <f>'1461'!F94</f>
        <v>255756816</v>
      </c>
      <c r="G95" s="37" t="s">
        <v>6</v>
      </c>
      <c r="H95" s="441">
        <f>H75</f>
        <v>0.107293</v>
      </c>
      <c r="I95" s="101">
        <f>SUM('1461:4131'!I94)</f>
        <v>27441171.820000004</v>
      </c>
    </row>
    <row r="96" spans="1:11" x14ac:dyDescent="0.25">
      <c r="A96" s="81"/>
      <c r="B96" s="69"/>
      <c r="C96" s="69"/>
      <c r="D96" s="69"/>
      <c r="E96" s="43"/>
      <c r="F96" s="275"/>
      <c r="G96" s="37"/>
      <c r="H96" s="441"/>
      <c r="I96" s="101"/>
    </row>
    <row r="97" spans="1:9" x14ac:dyDescent="0.25">
      <c r="A97" s="704" t="s">
        <v>439</v>
      </c>
      <c r="B97" s="705"/>
      <c r="C97" s="705"/>
      <c r="D97" s="69"/>
      <c r="E97" s="43" t="s">
        <v>4</v>
      </c>
      <c r="F97" s="289">
        <f>'1461'!F96</f>
        <v>-1585559</v>
      </c>
      <c r="G97" s="37" t="s">
        <v>6</v>
      </c>
      <c r="H97" s="441">
        <f>H75</f>
        <v>0.107293</v>
      </c>
      <c r="I97" s="101">
        <f>SUM('1461:4131'!I96)</f>
        <v>-170120.93999999992</v>
      </c>
    </row>
    <row r="98" spans="1:9" x14ac:dyDescent="0.25">
      <c r="A98" s="81"/>
      <c r="B98" s="69"/>
      <c r="C98" s="69"/>
      <c r="D98" s="69"/>
      <c r="E98" s="43"/>
      <c r="F98" s="275"/>
      <c r="G98" s="37"/>
      <c r="H98" s="441"/>
      <c r="I98" s="101"/>
    </row>
    <row r="99" spans="1:9" x14ac:dyDescent="0.25">
      <c r="A99" s="418" t="s">
        <v>440</v>
      </c>
    </row>
    <row r="100" spans="1:9" x14ac:dyDescent="0.25">
      <c r="B100" s="69"/>
      <c r="C100" s="714" t="s">
        <v>60</v>
      </c>
      <c r="D100" s="714"/>
      <c r="E100" s="69"/>
      <c r="F100" s="39" t="s">
        <v>28</v>
      </c>
      <c r="G100" s="69"/>
      <c r="H100" s="69"/>
      <c r="I100" s="69"/>
    </row>
    <row r="101" spans="1:9" x14ac:dyDescent="0.25">
      <c r="A101" s="3"/>
      <c r="B101" s="118"/>
      <c r="C101" s="715" t="s">
        <v>101</v>
      </c>
      <c r="D101" s="715"/>
      <c r="E101" s="119" t="s">
        <v>441</v>
      </c>
      <c r="F101" s="120" t="s">
        <v>106</v>
      </c>
      <c r="G101" s="121"/>
      <c r="H101" s="121"/>
      <c r="I101" s="121"/>
    </row>
    <row r="102" spans="1:9" x14ac:dyDescent="0.25">
      <c r="A102" s="26"/>
      <c r="B102" s="52" t="s">
        <v>105</v>
      </c>
      <c r="C102" s="703">
        <f>SUM('1461:4131'!C104)</f>
        <v>7904.3321999999998</v>
      </c>
      <c r="D102" s="703">
        <f>SUM('1461:4131'!D101)</f>
        <v>0</v>
      </c>
      <c r="E102" s="46">
        <f>'1461'!E104</f>
        <v>1.0407999999999999</v>
      </c>
      <c r="F102" s="290">
        <f>'1461'!F104</f>
        <v>950.92</v>
      </c>
      <c r="G102" s="39" t="s">
        <v>12</v>
      </c>
      <c r="H102" s="101">
        <f>SUM('1461:4131'!H104)</f>
        <v>7823056.1800000016</v>
      </c>
      <c r="I102" s="104"/>
    </row>
    <row r="103" spans="1:9" x14ac:dyDescent="0.25">
      <c r="A103" s="49"/>
      <c r="B103" s="49" t="s">
        <v>104</v>
      </c>
      <c r="C103" s="703">
        <f>SUM('1461:4131'!C105)</f>
        <v>9788.9231000000018</v>
      </c>
      <c r="D103" s="703">
        <f>SUM('1461:4131'!D102)</f>
        <v>0</v>
      </c>
      <c r="E103" s="46">
        <f>'1461'!E105</f>
        <v>1.0407999999999999</v>
      </c>
      <c r="F103" s="290">
        <f>'1461'!F105</f>
        <v>907.92</v>
      </c>
      <c r="G103" s="39" t="s">
        <v>12</v>
      </c>
      <c r="H103" s="101">
        <f>SUM('1461:4131'!H105)</f>
        <v>9250171.4900000002</v>
      </c>
    </row>
    <row r="104" spans="1:9" x14ac:dyDescent="0.25">
      <c r="A104" s="52"/>
      <c r="B104" s="52" t="s">
        <v>103</v>
      </c>
      <c r="C104" s="703">
        <f>SUM('1461:4131'!C106)</f>
        <v>7508.9075999999995</v>
      </c>
      <c r="D104" s="703">
        <f>SUM('1461:4131'!D103)</f>
        <v>0</v>
      </c>
      <c r="E104" s="46">
        <f>'1461'!E106</f>
        <v>1.0407999999999999</v>
      </c>
      <c r="F104" s="290">
        <f>'1461'!F106</f>
        <v>910.12</v>
      </c>
      <c r="G104" s="39" t="s">
        <v>12</v>
      </c>
      <c r="H104" s="94">
        <f>SUM('1461:4131'!H106)</f>
        <v>7112834.4700000016</v>
      </c>
    </row>
    <row r="105" spans="1:9" ht="16.5" thickBot="1" x14ac:dyDescent="0.3">
      <c r="A105" s="55"/>
      <c r="B105" s="122" t="s">
        <v>102</v>
      </c>
      <c r="C105" s="716">
        <f>SUM(C102:C104)</f>
        <v>25202.162899999999</v>
      </c>
      <c r="D105" s="716"/>
      <c r="E105" s="123"/>
      <c r="F105" s="123"/>
      <c r="G105" s="123"/>
      <c r="H105" s="124" t="s">
        <v>100</v>
      </c>
      <c r="I105" s="101">
        <f>SUM('1461:4131'!I107)</f>
        <v>24186062.139999997</v>
      </c>
    </row>
    <row r="106" spans="1:9" ht="16.5" thickTop="1" x14ac:dyDescent="0.25">
      <c r="A106" s="741" t="s">
        <v>65</v>
      </c>
      <c r="B106" s="741"/>
      <c r="C106" s="741"/>
      <c r="D106" s="741"/>
      <c r="E106" s="741"/>
      <c r="F106" s="741"/>
      <c r="G106" s="741"/>
      <c r="H106" s="741"/>
      <c r="I106" s="741"/>
    </row>
    <row r="107" spans="1:9" x14ac:dyDescent="0.25">
      <c r="A107" s="451"/>
      <c r="B107" s="451"/>
      <c r="C107" s="451"/>
      <c r="D107" s="451"/>
      <c r="E107" s="451"/>
      <c r="F107" s="451"/>
      <c r="G107" s="451"/>
      <c r="H107" s="451"/>
      <c r="I107" s="451"/>
    </row>
    <row r="108" spans="1:9" x14ac:dyDescent="0.25">
      <c r="A108" s="81" t="s">
        <v>445</v>
      </c>
      <c r="C108" s="43"/>
      <c r="D108" s="69"/>
      <c r="E108" s="43" t="s">
        <v>32</v>
      </c>
      <c r="F108" s="742"/>
      <c r="G108" s="742"/>
      <c r="H108" s="742"/>
      <c r="I108" s="742"/>
    </row>
    <row r="109" spans="1:9" x14ac:dyDescent="0.25">
      <c r="B109" s="69"/>
      <c r="C109" s="88" t="s">
        <v>378</v>
      </c>
      <c r="D109" s="349" t="s">
        <v>379</v>
      </c>
      <c r="E109" s="89" t="s">
        <v>107</v>
      </c>
      <c r="F109" s="43"/>
      <c r="G109" s="43"/>
      <c r="H109" s="43"/>
      <c r="I109" s="43"/>
    </row>
    <row r="110" spans="1:9" x14ac:dyDescent="0.25">
      <c r="B110" s="69"/>
      <c r="C110" s="340" t="s">
        <v>2</v>
      </c>
      <c r="D110" s="340" t="s">
        <v>2</v>
      </c>
      <c r="E110" s="90" t="s">
        <v>2</v>
      </c>
      <c r="F110" s="43"/>
      <c r="G110" s="43"/>
      <c r="H110" s="43"/>
      <c r="I110" s="43"/>
    </row>
    <row r="111" spans="1:9" x14ac:dyDescent="0.25">
      <c r="A111" s="717" t="s">
        <v>399</v>
      </c>
      <c r="B111" s="738"/>
      <c r="C111" s="143">
        <f>SUM('0040:4131'!C113)</f>
        <v>4390</v>
      </c>
      <c r="D111" s="143">
        <f>SUM('0040:4131'!D113)</f>
        <v>4412</v>
      </c>
      <c r="E111" s="116">
        <f>SUM('0040:4131'!E113)</f>
        <v>4401</v>
      </c>
      <c r="F111" s="126" t="s">
        <v>30</v>
      </c>
      <c r="G111" s="291">
        <f>'1461'!G113</f>
        <v>567</v>
      </c>
      <c r="I111" s="101">
        <f>SUM('0040:4131'!I113)</f>
        <v>2495367</v>
      </c>
    </row>
    <row r="112" spans="1:9" x14ac:dyDescent="0.25">
      <c r="A112" s="717" t="s">
        <v>400</v>
      </c>
      <c r="B112" s="738"/>
      <c r="C112" s="143">
        <f>SUM('0040:4131'!C114)</f>
        <v>4</v>
      </c>
      <c r="D112" s="143">
        <f>SUM('0040:4131'!D114)</f>
        <v>1</v>
      </c>
      <c r="E112" s="116">
        <f>SUM('0040:4131'!E114)</f>
        <v>2.5</v>
      </c>
      <c r="F112" s="126" t="s">
        <v>30</v>
      </c>
      <c r="G112" s="291">
        <f>'1461'!G114</f>
        <v>1821</v>
      </c>
      <c r="I112" s="101">
        <f>SUM('0040:4131'!I114)</f>
        <v>4552.5</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704" t="s">
        <v>446</v>
      </c>
      <c r="B115" s="705"/>
      <c r="C115" s="705"/>
      <c r="D115" s="69"/>
      <c r="E115" s="39" t="s">
        <v>317</v>
      </c>
      <c r="F115" s="714"/>
      <c r="G115" s="714"/>
      <c r="H115" s="714"/>
      <c r="I115" s="714"/>
    </row>
    <row r="116" spans="1:10" hidden="1" x14ac:dyDescent="0.25">
      <c r="B116" s="69"/>
      <c r="C116" s="715" t="s">
        <v>66</v>
      </c>
      <c r="D116" s="715"/>
      <c r="E116" s="715"/>
      <c r="F116" s="37"/>
      <c r="G116" s="37"/>
      <c r="H116" s="39" t="s">
        <v>108</v>
      </c>
      <c r="I116" s="37"/>
    </row>
    <row r="117" spans="1:10" hidden="1" x14ac:dyDescent="0.25">
      <c r="B117" s="69"/>
      <c r="C117" s="88" t="str">
        <f>C109</f>
        <v>Oct 2022</v>
      </c>
      <c r="D117" s="88" t="str">
        <f>D109</f>
        <v>Feb 2023</v>
      </c>
      <c r="E117" s="137" t="s">
        <v>8</v>
      </c>
      <c r="F117" s="718" t="s">
        <v>109</v>
      </c>
      <c r="G117" s="714"/>
      <c r="H117" s="37" t="s">
        <v>29</v>
      </c>
      <c r="I117" s="37"/>
    </row>
    <row r="118" spans="1:10" ht="15.75" hidden="1" customHeight="1" x14ac:dyDescent="0.25">
      <c r="A118" s="715" t="s">
        <v>69</v>
      </c>
      <c r="B118" s="715"/>
      <c r="C118" s="90" t="s">
        <v>2</v>
      </c>
      <c r="D118" s="90" t="s">
        <v>2</v>
      </c>
      <c r="E118" s="59" t="s">
        <v>2</v>
      </c>
      <c r="F118" s="715" t="s">
        <v>28</v>
      </c>
      <c r="G118" s="715"/>
      <c r="H118" s="59" t="s">
        <v>28</v>
      </c>
      <c r="I118" s="59" t="s">
        <v>8</v>
      </c>
    </row>
    <row r="119" spans="1:10" ht="15.75" hidden="1" customHeight="1" x14ac:dyDescent="0.25">
      <c r="A119" s="739" t="s">
        <v>56</v>
      </c>
      <c r="B119" s="739"/>
      <c r="C119" s="141">
        <v>0</v>
      </c>
      <c r="D119" s="141">
        <v>0</v>
      </c>
      <c r="E119" s="187">
        <f>IF(D31=0,C119*2,C119+D119)</f>
        <v>0</v>
      </c>
      <c r="F119" s="740">
        <v>0</v>
      </c>
      <c r="G119" s="740"/>
      <c r="H119" s="223">
        <f>IF(C119=0,0,125)</f>
        <v>0</v>
      </c>
      <c r="I119" s="101">
        <f>ROUND((H119+F119)*E119,2)</f>
        <v>0</v>
      </c>
    </row>
    <row r="120" spans="1:10" ht="15.75" hidden="1" customHeight="1" x14ac:dyDescent="0.25">
      <c r="A120" s="709" t="s">
        <v>57</v>
      </c>
      <c r="B120" s="709"/>
      <c r="C120" s="143">
        <v>0</v>
      </c>
      <c r="D120" s="143">
        <v>0</v>
      </c>
      <c r="E120" s="116">
        <f>IF(D32=0,C120*2,C120+D120)</f>
        <v>0</v>
      </c>
      <c r="F120" s="710">
        <f>ROUND(F119/2,2)</f>
        <v>0</v>
      </c>
      <c r="G120" s="710"/>
      <c r="H120" s="223">
        <f>IF(C120=0,0,62.5)</f>
        <v>0</v>
      </c>
      <c r="I120" s="101">
        <f>ROUND((H120+F120)*E120,2)</f>
        <v>0</v>
      </c>
    </row>
    <row r="121" spans="1:10" ht="15.75" hidden="1" customHeight="1" x14ac:dyDescent="0.25">
      <c r="A121" s="709" t="s">
        <v>58</v>
      </c>
      <c r="B121" s="709"/>
      <c r="C121" s="143">
        <v>0</v>
      </c>
      <c r="D121" s="143">
        <v>0</v>
      </c>
      <c r="E121" s="116">
        <f>IF(D33=0,C121*2,C121+D121)</f>
        <v>0</v>
      </c>
      <c r="F121" s="711"/>
      <c r="G121" s="711"/>
      <c r="H121" s="224">
        <f>IF(H119&gt;0,436,0)</f>
        <v>0</v>
      </c>
      <c r="I121" s="101">
        <f>ROUND(H121*E121,2)</f>
        <v>0</v>
      </c>
    </row>
    <row r="122" spans="1:10" ht="16.5" hidden="1" customHeight="1" x14ac:dyDescent="0.25">
      <c r="A122" s="714" t="s">
        <v>8</v>
      </c>
      <c r="B122" s="714"/>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704" t="s">
        <v>448</v>
      </c>
      <c r="B124" s="705"/>
      <c r="C124" s="705"/>
      <c r="D124" s="69"/>
      <c r="E124" s="68" t="s">
        <v>34</v>
      </c>
      <c r="F124" s="707"/>
      <c r="G124" s="707"/>
      <c r="H124" s="707"/>
      <c r="I124" s="154">
        <f>SUM('1461:4131'!I126)</f>
        <v>0</v>
      </c>
    </row>
    <row r="125" spans="1:10" x14ac:dyDescent="0.25">
      <c r="B125" s="69"/>
      <c r="C125" s="69"/>
      <c r="D125" s="69"/>
      <c r="E125" s="68"/>
      <c r="F125" s="68"/>
      <c r="G125" s="68"/>
      <c r="H125" s="68"/>
      <c r="I125" s="116"/>
    </row>
    <row r="126" spans="1:10" x14ac:dyDescent="0.25">
      <c r="A126" s="708" t="s">
        <v>8</v>
      </c>
      <c r="B126" s="708"/>
      <c r="C126" s="708"/>
      <c r="D126" s="708"/>
      <c r="E126" s="708"/>
      <c r="F126" s="708"/>
      <c r="G126" s="708"/>
      <c r="H126" s="708"/>
      <c r="I126" s="94">
        <f>SUM('0040:4131'!I128)</f>
        <v>208166648.95999998</v>
      </c>
      <c r="J126" s="250"/>
    </row>
    <row r="127" spans="1:10" x14ac:dyDescent="0.25">
      <c r="A127" s="26"/>
      <c r="B127" s="26"/>
      <c r="C127" s="26"/>
      <c r="D127" s="26"/>
      <c r="E127" s="26"/>
      <c r="F127" s="26"/>
      <c r="G127" s="26"/>
      <c r="H127" s="26"/>
      <c r="I127" s="101"/>
      <c r="J127" s="250"/>
    </row>
    <row r="128" spans="1:10" x14ac:dyDescent="0.25">
      <c r="A128" s="81" t="s">
        <v>480</v>
      </c>
      <c r="B128" s="26"/>
      <c r="C128" s="26"/>
      <c r="D128" s="26"/>
      <c r="E128" s="26"/>
      <c r="F128" s="26"/>
      <c r="G128" s="26"/>
      <c r="H128" s="26"/>
      <c r="I128" s="101">
        <f>SUM('0040:4131'!I130)</f>
        <v>198819964.62999994</v>
      </c>
      <c r="J128" s="250"/>
    </row>
    <row r="129" spans="1:13" x14ac:dyDescent="0.25">
      <c r="A129" s="26"/>
      <c r="B129" s="26"/>
      <c r="C129" s="26"/>
      <c r="D129" s="26"/>
      <c r="E129" s="26"/>
      <c r="F129" s="26"/>
      <c r="G129" s="26"/>
      <c r="H129" s="26"/>
      <c r="I129" s="101"/>
      <c r="J129" s="250"/>
    </row>
    <row r="130" spans="1:13" x14ac:dyDescent="0.25">
      <c r="A130" s="704" t="s">
        <v>481</v>
      </c>
      <c r="B130" s="705"/>
      <c r="C130" s="705"/>
      <c r="D130" s="705"/>
      <c r="E130" s="705"/>
      <c r="F130" s="705"/>
      <c r="G130" s="705"/>
      <c r="H130" s="81" t="s">
        <v>351</v>
      </c>
      <c r="I130" s="134"/>
      <c r="J130" s="250"/>
    </row>
    <row r="131" spans="1:13" x14ac:dyDescent="0.25">
      <c r="A131" s="705" t="s">
        <v>70</v>
      </c>
      <c r="B131" s="705"/>
      <c r="C131" s="705"/>
      <c r="D131" s="705"/>
      <c r="E131" s="705"/>
      <c r="F131" s="705"/>
      <c r="G131" s="705"/>
      <c r="H131" s="70"/>
      <c r="I131" s="116">
        <f>SUM('0040:4131'!I130)</f>
        <v>198819964.62999994</v>
      </c>
    </row>
    <row r="132" spans="1:13" x14ac:dyDescent="0.25">
      <c r="B132" s="69"/>
      <c r="C132" s="69"/>
      <c r="D132" s="69"/>
      <c r="E132" s="69"/>
      <c r="F132" s="69"/>
      <c r="G132" s="69"/>
      <c r="H132" s="65"/>
      <c r="I132" s="101"/>
    </row>
    <row r="133" spans="1:13" x14ac:dyDescent="0.25">
      <c r="A133" s="3" t="s">
        <v>73</v>
      </c>
      <c r="B133" s="69"/>
      <c r="C133" s="69"/>
      <c r="D133" s="69"/>
      <c r="E133" s="69"/>
      <c r="F133" s="69"/>
      <c r="G133" s="257"/>
      <c r="H133" s="139">
        <f>IF(H131=1,I131,I128)</f>
        <v>198819964.62999994</v>
      </c>
      <c r="I133" s="94">
        <f>SUM('0040:4131'!I135)</f>
        <v>-3291673.56</v>
      </c>
    </row>
    <row r="134" spans="1:13" x14ac:dyDescent="0.25">
      <c r="B134" s="69"/>
      <c r="C134" s="69"/>
      <c r="D134" s="69"/>
      <c r="E134" s="69"/>
      <c r="F134" s="69"/>
      <c r="G134" s="69"/>
      <c r="H134" s="65"/>
      <c r="I134" s="101"/>
    </row>
    <row r="135" spans="1:13" x14ac:dyDescent="0.25">
      <c r="A135" s="308" t="s">
        <v>74</v>
      </c>
      <c r="B135" s="309"/>
      <c r="C135" s="309"/>
      <c r="D135" s="309"/>
      <c r="E135" s="309"/>
      <c r="F135" s="309"/>
      <c r="G135" s="309"/>
      <c r="H135" s="310"/>
      <c r="I135" s="311">
        <f>SUM('0040:4131'!I137)</f>
        <v>204874975.40000001</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1">
        <f>SUM('0040:4131'!I139)</f>
        <v>-85417261.889999971</v>
      </c>
    </row>
    <row r="138" spans="1:13" x14ac:dyDescent="0.25">
      <c r="B138" s="69"/>
      <c r="C138" s="69"/>
      <c r="D138" s="69"/>
      <c r="E138" s="69"/>
      <c r="F138" s="69"/>
      <c r="G138" s="69"/>
      <c r="H138" s="65"/>
      <c r="I138" s="101"/>
    </row>
    <row r="139" spans="1:13" x14ac:dyDescent="0.25">
      <c r="A139" s="3" t="s">
        <v>246</v>
      </c>
      <c r="B139" s="69"/>
      <c r="C139" s="69"/>
      <c r="D139" s="69"/>
      <c r="E139" s="69"/>
      <c r="F139" s="69"/>
      <c r="G139" s="69"/>
      <c r="H139" s="65"/>
      <c r="I139" s="101">
        <f>SUM('0040:4131'!I141)</f>
        <v>119457713.51000002</v>
      </c>
    </row>
    <row r="140" spans="1:13" x14ac:dyDescent="0.25">
      <c r="A140" s="3"/>
      <c r="B140" s="69"/>
      <c r="C140" s="69"/>
      <c r="D140" s="69"/>
      <c r="E140" s="69"/>
      <c r="F140" s="69"/>
      <c r="G140" s="69"/>
      <c r="H140" s="65"/>
      <c r="I140" s="101"/>
    </row>
    <row r="141" spans="1:13" x14ac:dyDescent="0.25">
      <c r="A141" s="3" t="s">
        <v>247</v>
      </c>
      <c r="B141" s="69"/>
      <c r="C141" s="69"/>
      <c r="D141" s="69"/>
      <c r="E141" s="69"/>
      <c r="F141" s="69"/>
      <c r="G141" s="69"/>
      <c r="H141" s="65"/>
      <c r="I141" s="272">
        <f>'1461'!I143</f>
        <v>7</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SUM('0040:4131'!I145)-'4102'!I145</f>
        <v>17074911.039999999</v>
      </c>
      <c r="K143" s="437"/>
      <c r="L143" s="437"/>
      <c r="M143" s="437"/>
    </row>
    <row r="144" spans="1:13" s="135" customFormat="1" ht="16.5" thickTop="1" x14ac:dyDescent="0.25">
      <c r="A144" s="444"/>
      <c r="B144" s="444"/>
      <c r="C144" s="445"/>
      <c r="D144" s="446"/>
      <c r="E144" s="447"/>
      <c r="F144" s="222"/>
      <c r="G144" s="448"/>
      <c r="H144" s="449"/>
      <c r="I144" s="443"/>
    </row>
    <row r="145" spans="1:8" x14ac:dyDescent="0.25">
      <c r="A145" s="737" t="s">
        <v>7</v>
      </c>
      <c r="B145" s="737"/>
      <c r="C145" s="737"/>
      <c r="D145" s="737"/>
      <c r="E145" s="737"/>
      <c r="F145" s="737"/>
      <c r="G145" s="737"/>
      <c r="H145" s="737"/>
    </row>
    <row r="146" spans="1:8" ht="26.25" customHeight="1" x14ac:dyDescent="0.25">
      <c r="A146" s="706" t="s">
        <v>482</v>
      </c>
      <c r="B146" s="706"/>
      <c r="C146" s="706"/>
      <c r="D146" s="706"/>
      <c r="E146" s="706"/>
      <c r="F146" s="706"/>
      <c r="G146" s="706"/>
      <c r="H146" s="706"/>
    </row>
    <row r="147" spans="1:8" x14ac:dyDescent="0.25">
      <c r="A147" s="737" t="s">
        <v>391</v>
      </c>
      <c r="B147" s="737"/>
      <c r="C147" s="737"/>
      <c r="D147" s="737"/>
      <c r="E147" s="737"/>
      <c r="F147" s="737"/>
      <c r="G147" s="737"/>
      <c r="H147" s="737"/>
    </row>
    <row r="148" spans="1:8" x14ac:dyDescent="0.25">
      <c r="A148" s="737" t="s">
        <v>392</v>
      </c>
      <c r="B148" s="737"/>
      <c r="C148" s="737"/>
      <c r="D148" s="737"/>
      <c r="E148" s="737"/>
      <c r="F148" s="737"/>
      <c r="G148" s="737"/>
      <c r="H148" s="737"/>
    </row>
    <row r="149" spans="1:8" x14ac:dyDescent="0.25">
      <c r="A149" s="737" t="s">
        <v>393</v>
      </c>
      <c r="B149" s="737"/>
      <c r="C149" s="737"/>
      <c r="D149" s="737"/>
      <c r="E149" s="737"/>
      <c r="F149" s="737"/>
      <c r="G149" s="737"/>
      <c r="H149" s="737"/>
    </row>
    <row r="150" spans="1:8" x14ac:dyDescent="0.25">
      <c r="A150" s="737" t="s">
        <v>394</v>
      </c>
      <c r="B150" s="737"/>
      <c r="C150" s="737"/>
      <c r="D150" s="737"/>
      <c r="E150" s="737"/>
      <c r="F150" s="737"/>
      <c r="G150" s="737"/>
      <c r="H150" s="737"/>
    </row>
    <row r="151" spans="1:8" x14ac:dyDescent="0.25">
      <c r="A151" s="737" t="s">
        <v>395</v>
      </c>
      <c r="B151" s="737"/>
      <c r="C151" s="737"/>
      <c r="D151" s="737"/>
      <c r="E151" s="737"/>
      <c r="F151" s="737"/>
      <c r="G151" s="737"/>
      <c r="H151" s="737"/>
    </row>
    <row r="152" spans="1:8" ht="26.25" customHeight="1" x14ac:dyDescent="0.25">
      <c r="A152" s="699" t="s">
        <v>483</v>
      </c>
      <c r="B152" s="699"/>
      <c r="C152" s="699"/>
      <c r="D152" s="699"/>
      <c r="E152" s="699"/>
      <c r="F152" s="699"/>
      <c r="G152" s="699"/>
      <c r="H152" s="699"/>
    </row>
    <row r="153" spans="1:8" ht="26.25" customHeight="1" x14ac:dyDescent="0.25">
      <c r="A153" s="706" t="s">
        <v>484</v>
      </c>
      <c r="B153" s="706"/>
      <c r="C153" s="706"/>
      <c r="D153" s="706"/>
      <c r="E153" s="706"/>
      <c r="F153" s="706"/>
      <c r="G153" s="706"/>
      <c r="H153" s="706"/>
    </row>
    <row r="154" spans="1:8" ht="26.25" customHeight="1" x14ac:dyDescent="0.25">
      <c r="A154" s="706" t="s">
        <v>401</v>
      </c>
      <c r="B154" s="706"/>
      <c r="C154" s="706"/>
      <c r="D154" s="706"/>
      <c r="E154" s="706"/>
      <c r="F154" s="706"/>
      <c r="G154" s="706"/>
      <c r="H154" s="706"/>
    </row>
    <row r="155" spans="1:8" ht="16.5" customHeight="1" x14ac:dyDescent="0.25">
      <c r="A155" s="511" t="s">
        <v>287</v>
      </c>
      <c r="B155" s="511"/>
      <c r="C155" s="511"/>
      <c r="D155" s="511"/>
      <c r="E155" s="511"/>
      <c r="F155" s="511"/>
      <c r="G155" s="511"/>
      <c r="H155" s="511"/>
    </row>
    <row r="156" spans="1:8" ht="26.25" customHeight="1" x14ac:dyDescent="0.25">
      <c r="A156" s="699" t="s">
        <v>485</v>
      </c>
      <c r="B156" s="699"/>
      <c r="C156" s="699"/>
      <c r="D156" s="699"/>
      <c r="E156" s="699"/>
      <c r="F156" s="699"/>
      <c r="G156" s="699"/>
      <c r="H156" s="699"/>
    </row>
    <row r="157" spans="1:8" ht="26.25" customHeight="1" x14ac:dyDescent="0.25">
      <c r="A157" s="699" t="s">
        <v>486</v>
      </c>
      <c r="B157" s="699"/>
      <c r="C157" s="699"/>
      <c r="D157" s="699"/>
      <c r="E157" s="699"/>
      <c r="F157" s="699"/>
      <c r="G157" s="699"/>
      <c r="H157" s="699"/>
    </row>
    <row r="158" spans="1:8" x14ac:dyDescent="0.25">
      <c r="A158" s="698" t="s">
        <v>67</v>
      </c>
      <c r="B158" s="699"/>
      <c r="C158" s="699"/>
      <c r="D158" s="699"/>
      <c r="E158" s="699"/>
      <c r="F158" s="699"/>
      <c r="G158" s="699"/>
      <c r="H158" s="699"/>
    </row>
    <row r="159" spans="1:8" ht="54.75" customHeight="1" x14ac:dyDescent="0.25">
      <c r="A159" s="700" t="s">
        <v>487</v>
      </c>
      <c r="B159" s="700"/>
      <c r="C159" s="700"/>
      <c r="D159" s="700"/>
      <c r="E159" s="700"/>
      <c r="F159" s="700"/>
      <c r="G159" s="700"/>
      <c r="H159" s="700"/>
    </row>
    <row r="160" spans="1:8" ht="42.75" customHeight="1" x14ac:dyDescent="0.25">
      <c r="A160" s="700" t="s">
        <v>488</v>
      </c>
      <c r="B160" s="700"/>
      <c r="C160" s="700"/>
      <c r="D160" s="700"/>
      <c r="E160" s="700"/>
      <c r="F160" s="700"/>
      <c r="G160" s="700"/>
      <c r="H160" s="700"/>
    </row>
    <row r="161" spans="1:8" x14ac:dyDescent="0.25">
      <c r="A161" s="512"/>
      <c r="B161" s="512"/>
      <c r="C161" s="512"/>
      <c r="D161" s="512"/>
      <c r="E161" s="512"/>
      <c r="F161" s="512"/>
      <c r="G161" s="512"/>
      <c r="H161" s="512"/>
    </row>
    <row r="162" spans="1:8" x14ac:dyDescent="0.25">
      <c r="A162" s="701" t="s">
        <v>68</v>
      </c>
      <c r="B162" s="701"/>
      <c r="C162" s="701"/>
      <c r="D162" s="701"/>
      <c r="E162" s="701"/>
      <c r="F162" s="701"/>
      <c r="G162" s="701"/>
      <c r="H162" s="701"/>
    </row>
    <row r="163" spans="1:8" ht="26.25" customHeight="1" x14ac:dyDescent="0.25">
      <c r="A163" s="700" t="s">
        <v>489</v>
      </c>
      <c r="B163" s="700"/>
      <c r="C163" s="700"/>
      <c r="D163" s="700"/>
      <c r="E163" s="700"/>
      <c r="F163" s="700"/>
      <c r="G163" s="700"/>
      <c r="H163" s="700"/>
    </row>
    <row r="164" spans="1:8" x14ac:dyDescent="0.25">
      <c r="A164" s="702" t="s">
        <v>11</v>
      </c>
      <c r="B164" s="702"/>
      <c r="C164" s="702"/>
      <c r="D164" s="702"/>
      <c r="E164" s="702"/>
      <c r="F164" s="702"/>
      <c r="G164" s="702"/>
      <c r="H164" s="702"/>
    </row>
  </sheetData>
  <mergeCells count="114">
    <mergeCell ref="A106:I106"/>
    <mergeCell ref="F108:I108"/>
    <mergeCell ref="A111:B111"/>
    <mergeCell ref="A145:H145"/>
    <mergeCell ref="A146:H146"/>
    <mergeCell ref="A147:H147"/>
    <mergeCell ref="A148:H148"/>
    <mergeCell ref="A149:H149"/>
    <mergeCell ref="A150:H150"/>
    <mergeCell ref="A151:H151"/>
    <mergeCell ref="A112:B112"/>
    <mergeCell ref="A119:B119"/>
    <mergeCell ref="F119:G119"/>
    <mergeCell ref="A122:B122"/>
    <mergeCell ref="F115:I115"/>
    <mergeCell ref="C116:E116"/>
    <mergeCell ref="F117:G117"/>
    <mergeCell ref="A118:B118"/>
    <mergeCell ref="F118:G118"/>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tabColor rgb="FFFFCCCC"/>
  </sheetPr>
  <dimension ref="A1:V221"/>
  <sheetViews>
    <sheetView topLeftCell="A22"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332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J11" s="255"/>
      <c r="K11" s="254"/>
      <c r="L11" s="254"/>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J12" s="253"/>
      <c r="K12" s="254"/>
      <c r="L12" s="254"/>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K13" s="254"/>
      <c r="L13" s="254"/>
      <c r="N13" s="794" t="s">
        <v>36</v>
      </c>
      <c r="O13" s="794"/>
      <c r="P13" s="795" t="s">
        <v>37</v>
      </c>
      <c r="Q13" s="795"/>
      <c r="R13" s="796" t="s">
        <v>38</v>
      </c>
      <c r="S13" s="796"/>
      <c r="T13" s="22" t="s">
        <v>39</v>
      </c>
      <c r="U13" s="23" t="s">
        <v>40</v>
      </c>
    </row>
    <row r="14" spans="1:21" x14ac:dyDescent="0.25">
      <c r="A14" s="726" t="s">
        <v>20</v>
      </c>
      <c r="B14" s="726"/>
      <c r="C14" s="143">
        <v>43.42</v>
      </c>
      <c r="D14" s="141">
        <v>0</v>
      </c>
      <c r="E14" s="187">
        <f>IF(D$30=0,C14*2,C14+D14)</f>
        <v>86.84</v>
      </c>
      <c r="F14" s="797">
        <f>'1461'!F14:G14</f>
        <v>1.1180000000000001</v>
      </c>
      <c r="G14" s="797"/>
      <c r="H14" s="145">
        <f>ROUND(E14*F14,4)</f>
        <v>97.087100000000007</v>
      </c>
      <c r="I14" s="111">
        <f>ROUND(ROUND(ROUND(H14*$C$8,4)*($H$8),2)*(MAX($H$9,1)),2)</f>
        <v>538686.22</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1.5</v>
      </c>
      <c r="D15" s="143">
        <v>0</v>
      </c>
      <c r="E15" s="116">
        <f t="shared" ref="E15:E29" si="1">IF(D$30=0,C15*2,C15+D15)</f>
        <v>3</v>
      </c>
      <c r="F15" s="788">
        <f>'1461'!F15:G15</f>
        <v>1.1180000000000001</v>
      </c>
      <c r="G15" s="788"/>
      <c r="H15" s="80">
        <f t="shared" ref="H15:H29" si="2">ROUND(E15*F15,4)</f>
        <v>3.3540000000000001</v>
      </c>
      <c r="I15" s="101">
        <f t="shared" ref="I15:I29" si="3">ROUND(ROUND(ROUND(H15*$C$8,4)*($H$8),2)*(MAX($H$9,1)),2)</f>
        <v>18609.62</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33.869999999999997</v>
      </c>
      <c r="D16" s="143">
        <v>0</v>
      </c>
      <c r="E16" s="116">
        <f t="shared" si="1"/>
        <v>67.739999999999995</v>
      </c>
      <c r="F16" s="788">
        <f>'1461'!F16:G16</f>
        <v>1</v>
      </c>
      <c r="G16" s="788"/>
      <c r="H16" s="80">
        <f t="shared" si="2"/>
        <v>67.739999999999995</v>
      </c>
      <c r="I16" s="101">
        <f t="shared" si="3"/>
        <v>375854.31</v>
      </c>
      <c r="N16" s="747" t="s">
        <v>22</v>
      </c>
      <c r="O16" s="747"/>
      <c r="P16" s="789">
        <f t="shared" si="0"/>
        <v>0</v>
      </c>
      <c r="Q16" s="789"/>
      <c r="R16" s="793">
        <v>1</v>
      </c>
      <c r="S16" s="793"/>
      <c r="T16" s="95">
        <f t="shared" si="4"/>
        <v>0</v>
      </c>
      <c r="U16" s="492">
        <f t="shared" si="5"/>
        <v>0</v>
      </c>
    </row>
    <row r="17" spans="1:21" x14ac:dyDescent="0.25">
      <c r="A17" s="705" t="s">
        <v>23</v>
      </c>
      <c r="B17" s="705"/>
      <c r="C17" s="143">
        <v>3</v>
      </c>
      <c r="D17" s="143">
        <v>0</v>
      </c>
      <c r="E17" s="116">
        <f t="shared" si="1"/>
        <v>6</v>
      </c>
      <c r="F17" s="788">
        <f>'1461'!F17:G17</f>
        <v>1</v>
      </c>
      <c r="G17" s="788"/>
      <c r="H17" s="80">
        <f t="shared" si="2"/>
        <v>6</v>
      </c>
      <c r="I17" s="101">
        <f t="shared" si="3"/>
        <v>33290.9</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50.08</v>
      </c>
      <c r="D26" s="143">
        <v>0</v>
      </c>
      <c r="E26" s="116">
        <f t="shared" si="1"/>
        <v>100.16</v>
      </c>
      <c r="F26" s="788">
        <f>'1461'!F26:G26</f>
        <v>1.1919999999999999</v>
      </c>
      <c r="G26" s="788"/>
      <c r="H26" s="80">
        <f t="shared" si="2"/>
        <v>119.3907</v>
      </c>
      <c r="I26" s="101">
        <f t="shared" si="3"/>
        <v>662437.39</v>
      </c>
      <c r="N26" s="747" t="s">
        <v>85</v>
      </c>
      <c r="O26" s="747"/>
      <c r="P26" s="789">
        <f t="shared" si="0"/>
        <v>0</v>
      </c>
      <c r="Q26" s="789"/>
      <c r="R26" s="793">
        <v>1</v>
      </c>
      <c r="S26" s="793"/>
      <c r="T26" s="95">
        <f t="shared" si="4"/>
        <v>0</v>
      </c>
      <c r="U26" s="492">
        <f t="shared" si="5"/>
        <v>0</v>
      </c>
    </row>
    <row r="27" spans="1:21" x14ac:dyDescent="0.25">
      <c r="A27" s="705" t="s">
        <v>86</v>
      </c>
      <c r="B27" s="705"/>
      <c r="C27" s="143">
        <v>20.14</v>
      </c>
      <c r="D27" s="143">
        <v>0</v>
      </c>
      <c r="E27" s="116">
        <f t="shared" si="1"/>
        <v>40.28</v>
      </c>
      <c r="F27" s="788">
        <f>'1461'!F27:G27</f>
        <v>1.1919999999999999</v>
      </c>
      <c r="G27" s="788"/>
      <c r="H27" s="80">
        <f t="shared" si="2"/>
        <v>48.013800000000003</v>
      </c>
      <c r="I27" s="101">
        <f t="shared" si="3"/>
        <v>266403.8</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152.01</v>
      </c>
      <c r="D30" s="94">
        <f>SUM(D14:D29)+0</f>
        <v>0</v>
      </c>
      <c r="E30" s="94">
        <f>SUM(E14:E29)</f>
        <v>304.02</v>
      </c>
      <c r="F30" s="724"/>
      <c r="G30" s="724"/>
      <c r="H30" s="99">
        <f>SUM(H14:H29)</f>
        <v>341.5856</v>
      </c>
      <c r="I30" s="94">
        <f>SUM(I14:I29)</f>
        <v>1895282.24</v>
      </c>
      <c r="K30" s="236">
        <f>I30-J30</f>
        <v>1895282.24</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1985077.23</v>
      </c>
      <c r="G51" s="109" t="s">
        <v>6</v>
      </c>
      <c r="H51" s="420">
        <v>5.5899999999999998E-2</v>
      </c>
      <c r="I51" s="101">
        <f>ROUND(F51*H51,2)</f>
        <v>110965.82</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1985077.23</v>
      </c>
      <c r="G52" s="109" t="s">
        <v>6</v>
      </c>
      <c r="H52" s="420">
        <v>1.0699999999999999E-2</v>
      </c>
      <c r="I52" s="101">
        <f>ROUND(F52*H52,2)</f>
        <v>21240.33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132206.15000000002</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1.5</v>
      </c>
      <c r="D57" s="143">
        <v>0</v>
      </c>
      <c r="E57" s="116">
        <f>IF(D$66=0,C57*2,C57+D57)</f>
        <v>3</v>
      </c>
      <c r="F57" s="462" t="s">
        <v>455</v>
      </c>
      <c r="G57" s="462">
        <v>251</v>
      </c>
      <c r="H57" s="476">
        <f>'1461'!H57</f>
        <v>1047</v>
      </c>
      <c r="I57" s="101">
        <f>ROUND(E57*H57,2)</f>
        <v>3141</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ref="E58:E65" si="10">IF(D$66=0,C58*2,C58+D58)</f>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3</v>
      </c>
      <c r="D60" s="143">
        <v>0</v>
      </c>
      <c r="E60" s="116">
        <f t="shared" si="10"/>
        <v>6</v>
      </c>
      <c r="F60" s="463" t="s">
        <v>13</v>
      </c>
      <c r="G60" s="462">
        <v>251</v>
      </c>
      <c r="H60" s="476">
        <f>'1461'!H60</f>
        <v>1173</v>
      </c>
      <c r="I60" s="101">
        <f t="shared" si="11"/>
        <v>7038</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4.5</v>
      </c>
      <c r="D66" s="97">
        <f>SUM(D57:D65)</f>
        <v>0</v>
      </c>
      <c r="E66" s="97">
        <f>SUM(E57:E65)</f>
        <v>9</v>
      </c>
      <c r="F66" s="708" t="s">
        <v>464</v>
      </c>
      <c r="G66" s="708"/>
      <c r="H66" s="708"/>
      <c r="I66" s="97">
        <f>SUM(I57:I65)</f>
        <v>10179</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304.02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1.446E-3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341.5856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1.454E-3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304.02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1.6199999999999999E-3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304.02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1.4480000000000001E-3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304.02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1.6230000000000001E-3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1.4480000000000001E-3</v>
      </c>
      <c r="I85" s="101">
        <f>ROUND(F85*H85,2)</f>
        <v>66845.039999999994</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1.446E-3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1.6230000000000001E-3</v>
      </c>
      <c r="I90" s="101">
        <f>ROUND(F90*H90,2)</f>
        <v>30905.21</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1.6199999999999999E-3</v>
      </c>
      <c r="I92" s="101">
        <f t="shared" ref="I92:I96" si="14">ROUND(F92*H92,2)</f>
        <v>18534.66</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1.454E-3</v>
      </c>
      <c r="I94" s="101">
        <f t="shared" si="14"/>
        <v>371870.41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1.454E-3</v>
      </c>
      <c r="I96" s="101">
        <f t="shared" si="14"/>
        <v>-2305.4</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1.446E-3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219.83179999999999</v>
      </c>
      <c r="D104" s="703"/>
      <c r="E104" s="46">
        <f>H8</f>
        <v>1.0407999999999999</v>
      </c>
      <c r="F104" s="302">
        <f>'1461'!F104</f>
        <v>950.92</v>
      </c>
      <c r="G104" s="39" t="s">
        <v>12</v>
      </c>
      <c r="H104" s="101">
        <f>ROUND(C104*E104*F104,2)</f>
        <v>217571.39</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121.7538</v>
      </c>
      <c r="D105" s="703"/>
      <c r="E105" s="46">
        <f>H8</f>
        <v>1.0407999999999999</v>
      </c>
      <c r="F105" s="302">
        <f>'1461'!F105</f>
        <v>907.92</v>
      </c>
      <c r="G105" s="39" t="s">
        <v>12</v>
      </c>
      <c r="H105" s="101">
        <f>ROUND(C105*E105*F105,2)</f>
        <v>115052.85</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341.5856</v>
      </c>
      <c r="D107" s="716"/>
      <c r="E107" s="123"/>
      <c r="F107" s="123"/>
      <c r="G107" s="123"/>
      <c r="H107" s="124" t="s">
        <v>100</v>
      </c>
      <c r="I107" s="101">
        <f>IF(A1=75,0,H106+H105+H104)</f>
        <v>332624.24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16">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2724502.4000000004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2592296.2500000005</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2592296.2500000005</v>
      </c>
      <c r="I135" s="94">
        <f>ROUND(IF(E30=0,0,IF(E30&gt;250,-(((250/E30)*H135)*IF(G135="H",0.02,0.05)),IF(G135="H",-0.02*H135,-0.05*H135))),2)</f>
        <v>-106584.12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2617918.2800000003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-1142920.25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1474998.0300000003</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210714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23030.69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tabColor rgb="FFFFCCCC"/>
  </sheetPr>
  <dimension ref="A1:V221"/>
  <sheetViews>
    <sheetView topLeftCell="A25" workbookViewId="0">
      <selection activeCell="C60" sqref="C60:C61"/>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353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J11" s="255"/>
      <c r="K11" s="254"/>
      <c r="L11" s="254"/>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J12" s="253"/>
      <c r="K12" s="254"/>
      <c r="L12" s="254"/>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K13" s="254"/>
      <c r="L13" s="254"/>
      <c r="N13" s="794" t="s">
        <v>36</v>
      </c>
      <c r="O13" s="794"/>
      <c r="P13" s="795" t="s">
        <v>37</v>
      </c>
      <c r="Q13" s="795"/>
      <c r="R13" s="796" t="s">
        <v>38</v>
      </c>
      <c r="S13" s="796"/>
      <c r="T13" s="22" t="s">
        <v>39</v>
      </c>
      <c r="U13" s="23" t="s">
        <v>40</v>
      </c>
    </row>
    <row r="14" spans="1:21" x14ac:dyDescent="0.25">
      <c r="A14" s="726" t="s">
        <v>20</v>
      </c>
      <c r="B14" s="726"/>
      <c r="C14" s="143">
        <v>64.150000000000006</v>
      </c>
      <c r="D14" s="141">
        <v>0</v>
      </c>
      <c r="E14" s="187">
        <f>IF(D$30=0,C14*2,C14+D14)</f>
        <v>128.30000000000001</v>
      </c>
      <c r="F14" s="797">
        <f>'1461'!F14:G14</f>
        <v>1.1180000000000001</v>
      </c>
      <c r="G14" s="797"/>
      <c r="H14" s="145">
        <f>ROUND(E14*F14,4)</f>
        <v>143.43940000000001</v>
      </c>
      <c r="I14" s="111">
        <f>ROUND(ROUND(ROUND(H14*$C$8,4)*($H$8),2)*(MAX($H$9,1)),2)</f>
        <v>795871.21</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5</v>
      </c>
      <c r="D15" s="143">
        <v>0</v>
      </c>
      <c r="E15" s="116">
        <f t="shared" ref="E15:E29" si="1">IF(D$30=0,C15*2,C15+D15)</f>
        <v>10</v>
      </c>
      <c r="F15" s="788">
        <f>'1461'!F15:G15</f>
        <v>1.1180000000000001</v>
      </c>
      <c r="G15" s="788"/>
      <c r="H15" s="80">
        <f t="shared" ref="H15:H29" si="2">ROUND(E15*F15,4)</f>
        <v>11.18</v>
      </c>
      <c r="I15" s="101">
        <f t="shared" ref="I15:I29" si="3">ROUND(ROUND(ROUND(H15*$C$8,4)*($H$8),2)*(MAX($H$9,1)),2)</f>
        <v>62032.05</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94.83</v>
      </c>
      <c r="D16" s="143">
        <v>0</v>
      </c>
      <c r="E16" s="116">
        <f t="shared" si="1"/>
        <v>189.66</v>
      </c>
      <c r="F16" s="788">
        <f>'1461'!F16:G16</f>
        <v>1</v>
      </c>
      <c r="G16" s="788"/>
      <c r="H16" s="80">
        <f t="shared" si="2"/>
        <v>189.66</v>
      </c>
      <c r="I16" s="101">
        <f t="shared" si="3"/>
        <v>1052325.47</v>
      </c>
      <c r="N16" s="747" t="s">
        <v>22</v>
      </c>
      <c r="O16" s="747"/>
      <c r="P16" s="789">
        <f t="shared" si="0"/>
        <v>0</v>
      </c>
      <c r="Q16" s="789"/>
      <c r="R16" s="793">
        <v>1</v>
      </c>
      <c r="S16" s="793"/>
      <c r="T16" s="95">
        <f t="shared" si="4"/>
        <v>0</v>
      </c>
      <c r="U16" s="492">
        <f t="shared" si="5"/>
        <v>0</v>
      </c>
    </row>
    <row r="17" spans="1:21" x14ac:dyDescent="0.25">
      <c r="A17" s="705" t="s">
        <v>23</v>
      </c>
      <c r="B17" s="705"/>
      <c r="C17" s="143">
        <v>18.739999999999998</v>
      </c>
      <c r="D17" s="143">
        <v>0</v>
      </c>
      <c r="E17" s="116">
        <f t="shared" si="1"/>
        <v>37.479999999999997</v>
      </c>
      <c r="F17" s="788">
        <f>'1461'!F17:G17</f>
        <v>1</v>
      </c>
      <c r="G17" s="788"/>
      <c r="H17" s="80">
        <f t="shared" si="2"/>
        <v>37.479999999999997</v>
      </c>
      <c r="I17" s="101">
        <f t="shared" si="3"/>
        <v>207957.18</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26.88</v>
      </c>
      <c r="D26" s="143">
        <v>0</v>
      </c>
      <c r="E26" s="116">
        <f t="shared" si="1"/>
        <v>53.76</v>
      </c>
      <c r="F26" s="788">
        <f>'1461'!F26:G26</f>
        <v>1.1919999999999999</v>
      </c>
      <c r="G26" s="788"/>
      <c r="H26" s="80">
        <f t="shared" si="2"/>
        <v>64.081900000000005</v>
      </c>
      <c r="I26" s="101">
        <f t="shared" si="3"/>
        <v>355557.4</v>
      </c>
      <c r="N26" s="747" t="s">
        <v>85</v>
      </c>
      <c r="O26" s="747"/>
      <c r="P26" s="789">
        <f t="shared" si="0"/>
        <v>0</v>
      </c>
      <c r="Q26" s="789"/>
      <c r="R26" s="793">
        <v>1</v>
      </c>
      <c r="S26" s="793"/>
      <c r="T26" s="95">
        <f t="shared" si="4"/>
        <v>0</v>
      </c>
      <c r="U26" s="492">
        <f t="shared" si="5"/>
        <v>0</v>
      </c>
    </row>
    <row r="27" spans="1:21" x14ac:dyDescent="0.25">
      <c r="A27" s="705" t="s">
        <v>86</v>
      </c>
      <c r="B27" s="705"/>
      <c r="C27" s="143">
        <v>19.47</v>
      </c>
      <c r="D27" s="143">
        <v>0</v>
      </c>
      <c r="E27" s="116">
        <f t="shared" si="1"/>
        <v>38.94</v>
      </c>
      <c r="F27" s="788">
        <f>'1461'!F27:G27</f>
        <v>1.1919999999999999</v>
      </c>
      <c r="G27" s="788"/>
      <c r="H27" s="80">
        <f t="shared" si="2"/>
        <v>46.416499999999999</v>
      </c>
      <c r="I27" s="101">
        <f t="shared" si="3"/>
        <v>257541.21</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229.07000000000002</v>
      </c>
      <c r="D30" s="94">
        <f>SUM(D14:D29)</f>
        <v>0</v>
      </c>
      <c r="E30" s="94">
        <f>SUM(E14:E29)</f>
        <v>458.14000000000004</v>
      </c>
      <c r="F30" s="724"/>
      <c r="G30" s="724"/>
      <c r="H30" s="99">
        <f>SUM(H14:H29)</f>
        <v>492.25780000000003</v>
      </c>
      <c r="I30" s="94">
        <f>SUM(I14:I29)</f>
        <v>2731284.52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3169867.2099999995</v>
      </c>
      <c r="G51" s="109" t="s">
        <v>6</v>
      </c>
      <c r="H51" s="420">
        <v>5.5899999999999998E-2</v>
      </c>
      <c r="I51" s="101">
        <f>ROUND(F51*H51,2)</f>
        <v>177195.58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3169867.2099999995</v>
      </c>
      <c r="G52" s="109" t="s">
        <v>6</v>
      </c>
      <c r="H52" s="420">
        <v>1.0699999999999999E-2</v>
      </c>
      <c r="I52" s="101">
        <f>ROUND(F52*H52,2)</f>
        <v>33917.58</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211113.15999999997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4.8600000000000003</v>
      </c>
      <c r="D57" s="143">
        <v>0</v>
      </c>
      <c r="E57" s="116">
        <f t="shared" ref="E57:E65" si="10">IF(D$66=0,C57*2,C57+D57)</f>
        <v>9.7200000000000006</v>
      </c>
      <c r="F57" s="462" t="s">
        <v>455</v>
      </c>
      <c r="G57" s="462">
        <v>251</v>
      </c>
      <c r="H57" s="476">
        <f>'1461'!H57</f>
        <v>1047</v>
      </c>
      <c r="I57" s="101">
        <f>ROUND(E57*H57,2)</f>
        <v>10176.84</v>
      </c>
      <c r="N57" s="778" t="s">
        <v>463</v>
      </c>
      <c r="O57" s="778"/>
      <c r="P57" s="780"/>
      <c r="Q57" s="780"/>
      <c r="R57" s="468" t="s">
        <v>455</v>
      </c>
      <c r="S57" s="468">
        <v>251</v>
      </c>
      <c r="T57" s="479">
        <f>H57</f>
        <v>1047</v>
      </c>
      <c r="U57" s="493">
        <f>ROUND(P57*T57,2)</f>
        <v>0</v>
      </c>
      <c r="V57" s="443"/>
    </row>
    <row r="58" spans="1:22" x14ac:dyDescent="0.25">
      <c r="A58" s="721"/>
      <c r="B58" s="721"/>
      <c r="C58" s="143">
        <v>0.14000000000000001</v>
      </c>
      <c r="D58" s="143">
        <v>0</v>
      </c>
      <c r="E58" s="116">
        <f t="shared" si="10"/>
        <v>0.28000000000000003</v>
      </c>
      <c r="F58" s="462" t="s">
        <v>455</v>
      </c>
      <c r="G58" s="462">
        <v>252</v>
      </c>
      <c r="H58" s="476">
        <f>'1461'!H58</f>
        <v>3380</v>
      </c>
      <c r="I58" s="101">
        <f t="shared" ref="I58:I65" si="11">ROUND(E58*H58,2)</f>
        <v>946.4</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16.600000000000001</v>
      </c>
      <c r="D60" s="143">
        <v>0</v>
      </c>
      <c r="E60" s="116">
        <f t="shared" si="10"/>
        <v>33.200000000000003</v>
      </c>
      <c r="F60" s="463" t="s">
        <v>13</v>
      </c>
      <c r="G60" s="462">
        <v>251</v>
      </c>
      <c r="H60" s="476">
        <f>'1461'!H60</f>
        <v>1173</v>
      </c>
      <c r="I60" s="101">
        <f t="shared" si="11"/>
        <v>38943.599999999999</v>
      </c>
      <c r="N60" s="779"/>
      <c r="O60" s="779"/>
      <c r="P60" s="773"/>
      <c r="Q60" s="773"/>
      <c r="R60" s="40" t="s">
        <v>13</v>
      </c>
      <c r="S60" s="468">
        <v>251</v>
      </c>
      <c r="T60" s="479">
        <f t="shared" si="12"/>
        <v>1173</v>
      </c>
      <c r="U60" s="493">
        <f t="shared" si="13"/>
        <v>0</v>
      </c>
      <c r="V60" s="443"/>
    </row>
    <row r="61" spans="1:22" x14ac:dyDescent="0.25">
      <c r="A61" s="721"/>
      <c r="B61" s="721"/>
      <c r="C61" s="143">
        <v>2.14</v>
      </c>
      <c r="D61" s="143">
        <v>0</v>
      </c>
      <c r="E61" s="116">
        <f t="shared" si="10"/>
        <v>4.28</v>
      </c>
      <c r="F61" s="463" t="s">
        <v>13</v>
      </c>
      <c r="G61" s="462">
        <v>252</v>
      </c>
      <c r="H61" s="476">
        <f>'1461'!H61</f>
        <v>3506</v>
      </c>
      <c r="I61" s="101">
        <f t="shared" si="11"/>
        <v>15005.68</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23.740000000000002</v>
      </c>
      <c r="D66" s="97">
        <f>SUM(D57:D65)</f>
        <v>0</v>
      </c>
      <c r="E66" s="97">
        <f>SUM(E57:E65)</f>
        <v>47.480000000000004</v>
      </c>
      <c r="F66" s="708" t="s">
        <v>464</v>
      </c>
      <c r="G66" s="708"/>
      <c r="H66" s="708"/>
      <c r="I66" s="97">
        <f>SUM(I57:I65)</f>
        <v>65072.52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458.14000000000004</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2.1789999999999999E-3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492.25780000000003</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2.0960000000000002E-3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458.14000000000004</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2.441E-3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458.14000000000004</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2.183E-3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458.14000000000004</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2.4459999999999998E-3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2.183E-3</v>
      </c>
      <c r="I85" s="101">
        <f>ROUND(F85*H85,2)</f>
        <v>100775.37</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2.1789999999999999E-3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2.4459999999999998E-3</v>
      </c>
      <c r="I90" s="101">
        <f>ROUND(F90*H90,2)</f>
        <v>46576.800000000003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2.441E-3</v>
      </c>
      <c r="I92" s="101">
        <f t="shared" ref="I92:I96" si="14">ROUND(F92*H92,2)</f>
        <v>27927.85</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2.0960000000000002E-3</v>
      </c>
      <c r="I94" s="101">
        <f t="shared" si="14"/>
        <v>536066.29</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2.0960000000000002E-3</v>
      </c>
      <c r="I96" s="101">
        <f t="shared" si="14"/>
        <v>-3323.33</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2.1789999999999999E-3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218.7013</v>
      </c>
      <c r="D104" s="703"/>
      <c r="E104" s="46">
        <f>H8</f>
        <v>1.0407999999999999</v>
      </c>
      <c r="F104" s="302">
        <f>'1461'!F104</f>
        <v>950.92</v>
      </c>
      <c r="G104" s="39" t="s">
        <v>12</v>
      </c>
      <c r="H104" s="101">
        <f>ROUND(C104*E104*F104,2)</f>
        <v>216452.51</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273.55649999999997</v>
      </c>
      <c r="D105" s="703"/>
      <c r="E105" s="46">
        <f>H8</f>
        <v>1.0407999999999999</v>
      </c>
      <c r="F105" s="302">
        <f>'1461'!F105</f>
        <v>907.92</v>
      </c>
      <c r="G105" s="39" t="s">
        <v>12</v>
      </c>
      <c r="H105" s="101">
        <f>ROUND(C105*E105*F105,2)</f>
        <v>258500.81</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492.25779999999997</v>
      </c>
      <c r="D107" s="716"/>
      <c r="E107" s="123"/>
      <c r="F107" s="123"/>
      <c r="G107" s="123"/>
      <c r="H107" s="124" t="s">
        <v>100</v>
      </c>
      <c r="I107" s="101">
        <f>IF(A1=75,0,H106+H105+H104)</f>
        <v>474953.32</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16">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3979900.34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3768787.1799999997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3768787.1799999997</v>
      </c>
      <c r="I135" s="94">
        <f>ROUND(IF(E30=0,0,IF(E30&gt;250,-(((250/E30)*H135)*IF(G135="H",0.02,0.05)),IF(G135="H",-0.02*H135,-0.05*H135))),2)</f>
        <v>-102828.48</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3877071.86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-1884057.0399999998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1993014.82</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284716.40000000002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85610.880000000005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tabColor rgb="FFFFCCCC"/>
  </sheetPr>
  <dimension ref="A1:V221"/>
  <sheetViews>
    <sheetView topLeftCell="A28"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132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37</v>
      </c>
      <c r="D16" s="143">
        <v>0</v>
      </c>
      <c r="E16" s="116">
        <f t="shared" si="1"/>
        <v>74</v>
      </c>
      <c r="F16" s="788">
        <f>'1461'!F16:G16</f>
        <v>1</v>
      </c>
      <c r="G16" s="788"/>
      <c r="H16" s="80">
        <f t="shared" si="2"/>
        <v>74</v>
      </c>
      <c r="I16" s="101">
        <f t="shared" si="3"/>
        <v>410587.81</v>
      </c>
      <c r="N16" s="747" t="s">
        <v>22</v>
      </c>
      <c r="O16" s="747"/>
      <c r="P16" s="789">
        <f t="shared" si="0"/>
        <v>0</v>
      </c>
      <c r="Q16" s="789"/>
      <c r="R16" s="793">
        <v>1</v>
      </c>
      <c r="S16" s="793"/>
      <c r="T16" s="95">
        <f t="shared" si="4"/>
        <v>0</v>
      </c>
      <c r="U16" s="492">
        <f t="shared" si="5"/>
        <v>0</v>
      </c>
    </row>
    <row r="17" spans="1:21" x14ac:dyDescent="0.25">
      <c r="A17" s="705" t="s">
        <v>23</v>
      </c>
      <c r="B17" s="705"/>
      <c r="C17" s="143">
        <v>9.35</v>
      </c>
      <c r="D17" s="143">
        <v>0</v>
      </c>
      <c r="E17" s="116">
        <f t="shared" si="1"/>
        <v>18.7</v>
      </c>
      <c r="F17" s="788">
        <f>'1461'!F17:G17</f>
        <v>1</v>
      </c>
      <c r="G17" s="788"/>
      <c r="H17" s="80">
        <f t="shared" si="2"/>
        <v>18.7</v>
      </c>
      <c r="I17" s="101">
        <f t="shared" si="3"/>
        <v>103756.65</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1</v>
      </c>
      <c r="D27" s="143">
        <v>0</v>
      </c>
      <c r="E27" s="116">
        <f t="shared" si="1"/>
        <v>2</v>
      </c>
      <c r="F27" s="788">
        <f>'1461'!F27:G27</f>
        <v>1.1919999999999999</v>
      </c>
      <c r="G27" s="788"/>
      <c r="H27" s="80">
        <f t="shared" si="2"/>
        <v>2.3839999999999999</v>
      </c>
      <c r="I27" s="101">
        <f t="shared" si="3"/>
        <v>13227.59</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47.35</v>
      </c>
      <c r="D30" s="94">
        <f>SUM(D14:D29)</f>
        <v>0</v>
      </c>
      <c r="E30" s="94">
        <f>SUM(E14:E29)</f>
        <v>94.7</v>
      </c>
      <c r="F30" s="724"/>
      <c r="G30" s="724"/>
      <c r="H30" s="99">
        <f>SUM(H14:H29)</f>
        <v>95.084000000000003</v>
      </c>
      <c r="I30" s="94">
        <f>SUM(I14:I29)</f>
        <v>527572.04999999993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504219.03</v>
      </c>
      <c r="G51" s="109" t="s">
        <v>6</v>
      </c>
      <c r="H51" s="420">
        <v>5.5899999999999998E-2</v>
      </c>
      <c r="I51" s="101">
        <f>ROUND(F51*H51,2)</f>
        <v>28185.84</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504219.03</v>
      </c>
      <c r="G52" s="109" t="s">
        <v>6</v>
      </c>
      <c r="H52" s="420">
        <v>1.0699999999999999E-2</v>
      </c>
      <c r="I52" s="101">
        <f>ROUND(F52*H52,2)</f>
        <v>5395.14</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33580.980000000003</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9.35</v>
      </c>
      <c r="D60" s="143">
        <v>0</v>
      </c>
      <c r="E60" s="116">
        <f t="shared" si="10"/>
        <v>18.7</v>
      </c>
      <c r="F60" s="463" t="s">
        <v>13</v>
      </c>
      <c r="G60" s="462">
        <v>251</v>
      </c>
      <c r="H60" s="476">
        <f>'1461'!H60</f>
        <v>1173</v>
      </c>
      <c r="I60" s="101">
        <f t="shared" si="11"/>
        <v>21935.1</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9.35</v>
      </c>
      <c r="D66" s="97">
        <f>SUM(D57:D65)</f>
        <v>0</v>
      </c>
      <c r="E66" s="97">
        <f>SUM(E57:E65)</f>
        <v>18.7</v>
      </c>
      <c r="F66" s="708" t="s">
        <v>464</v>
      </c>
      <c r="G66" s="708"/>
      <c r="H66" s="708"/>
      <c r="I66" s="97">
        <f>SUM(I57:I65)</f>
        <v>21935.1</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94.7</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4.4999999999999999E-4</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95.084000000000003</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4.0499999999999998E-4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94.7</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5.0500000000000002E-4</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94.7</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4.5100000000000001E-4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94.7</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5.0600000000000005E-4</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4.5100000000000001E-4</v>
      </c>
      <c r="I85" s="101">
        <f>ROUND(F85*H85,2)</f>
        <v>20819.830000000002</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4.4999999999999999E-4</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5.0600000000000005E-4</v>
      </c>
      <c r="I90" s="101">
        <f>ROUND(F90*H90,2)</f>
        <v>9635.27</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5.0500000000000002E-4</v>
      </c>
      <c r="I92" s="101">
        <f t="shared" ref="I92:I96" si="14">ROUND(F92*H92,2)</f>
        <v>5777.78</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4.0499999999999998E-4</v>
      </c>
      <c r="I94" s="101">
        <f t="shared" si="14"/>
        <v>103581.51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4.0499999999999998E-4</v>
      </c>
      <c r="I96" s="101">
        <f t="shared" si="14"/>
        <v>-642.15</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4.4999999999999999E-4</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95.084000000000003</v>
      </c>
      <c r="D105" s="703"/>
      <c r="E105" s="46">
        <f>H8</f>
        <v>1.0407999999999999</v>
      </c>
      <c r="F105" s="302">
        <f>'1461'!F105</f>
        <v>907.92</v>
      </c>
      <c r="G105" s="39" t="s">
        <v>12</v>
      </c>
      <c r="H105" s="101">
        <f>ROUND(C105*E105*F105,2)</f>
        <v>89850.87</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95.084000000000003</v>
      </c>
      <c r="D107" s="716"/>
      <c r="E107" s="123"/>
      <c r="F107" s="123"/>
      <c r="G107" s="123"/>
      <c r="H107" s="124" t="s">
        <v>100</v>
      </c>
      <c r="I107" s="101">
        <f>IF(A1=75,0,H106+H105+H104)</f>
        <v>89850.87</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778530.25999999989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744949.27999999991</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744949.27999999991</v>
      </c>
      <c r="I135" s="94">
        <f>ROUND(IF(E30=0,0,IF(E30&gt;250,-(((250/E30)*H135)*IF(G135="H",0.02,0.05)),IF(G135="H",-0.02*H135,-0.05*H135))),2)</f>
        <v>-14898.99</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763631.2699999999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-305818.71999999997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457812.54999999993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65401.79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FFCCCC"/>
  </sheetPr>
  <dimension ref="A1:V221"/>
  <sheetViews>
    <sheetView topLeftCell="A28" workbookViewId="0">
      <selection activeCell="E57" sqref="E5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133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136.62</v>
      </c>
      <c r="D14" s="141">
        <v>0</v>
      </c>
      <c r="E14" s="187">
        <f>IF(D$30=0,C14*2,C14+D14)</f>
        <v>273.24</v>
      </c>
      <c r="F14" s="797">
        <f>'1461'!F14:G14</f>
        <v>1.1180000000000001</v>
      </c>
      <c r="G14" s="797"/>
      <c r="H14" s="145">
        <f>ROUND(E14*F14,4)</f>
        <v>305.48230000000001</v>
      </c>
      <c r="I14" s="111">
        <f>ROUND(ROUND(ROUND(H14*$C$8,4)*($H$8),2)*(MAX($H$9,1)),2)</f>
        <v>1694963.65</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10.5</v>
      </c>
      <c r="D15" s="143">
        <v>0</v>
      </c>
      <c r="E15" s="116">
        <f t="shared" ref="E15:E29" si="1">IF(D$30=0,C15*2,C15+D15)</f>
        <v>21</v>
      </c>
      <c r="F15" s="788">
        <f>'1461'!F15:G15</f>
        <v>1.1180000000000001</v>
      </c>
      <c r="G15" s="788"/>
      <c r="H15" s="80">
        <f t="shared" ref="H15:H29" si="2">ROUND(E15*F15,4)</f>
        <v>23.478000000000002</v>
      </c>
      <c r="I15" s="101">
        <f t="shared" ref="I15:I29" si="3">ROUND(ROUND(ROUND(H15*$C$8,4)*($H$8),2)*(MAX($H$9,1)),2)</f>
        <v>130267.31</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155.16</v>
      </c>
      <c r="D16" s="143">
        <v>0</v>
      </c>
      <c r="E16" s="116">
        <f t="shared" si="1"/>
        <v>310.32</v>
      </c>
      <c r="F16" s="788">
        <f>'1461'!F16:G16</f>
        <v>1</v>
      </c>
      <c r="G16" s="788"/>
      <c r="H16" s="80">
        <f t="shared" si="2"/>
        <v>310.32</v>
      </c>
      <c r="I16" s="101">
        <f t="shared" si="3"/>
        <v>1721805.55</v>
      </c>
      <c r="N16" s="747" t="s">
        <v>22</v>
      </c>
      <c r="O16" s="747"/>
      <c r="P16" s="789">
        <f t="shared" si="0"/>
        <v>0</v>
      </c>
      <c r="Q16" s="789"/>
      <c r="R16" s="793">
        <v>1</v>
      </c>
      <c r="S16" s="793"/>
      <c r="T16" s="95">
        <f t="shared" si="4"/>
        <v>0</v>
      </c>
      <c r="U16" s="492">
        <f t="shared" si="5"/>
        <v>0</v>
      </c>
    </row>
    <row r="17" spans="1:21" x14ac:dyDescent="0.25">
      <c r="A17" s="705" t="s">
        <v>23</v>
      </c>
      <c r="B17" s="705"/>
      <c r="C17" s="143">
        <v>21</v>
      </c>
      <c r="D17" s="143">
        <v>0</v>
      </c>
      <c r="E17" s="116">
        <f t="shared" si="1"/>
        <v>42</v>
      </c>
      <c r="F17" s="788">
        <f>'1461'!F17:G17</f>
        <v>1</v>
      </c>
      <c r="G17" s="788"/>
      <c r="H17" s="80">
        <f t="shared" si="2"/>
        <v>42</v>
      </c>
      <c r="I17" s="101">
        <f t="shared" si="3"/>
        <v>233036.33</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20.630000000000003</v>
      </c>
      <c r="D26" s="143">
        <v>0</v>
      </c>
      <c r="E26" s="116">
        <f t="shared" si="1"/>
        <v>41.260000000000005</v>
      </c>
      <c r="F26" s="788">
        <f>'1461'!F26:G26</f>
        <v>1.1919999999999999</v>
      </c>
      <c r="G26" s="788"/>
      <c r="H26" s="80">
        <f t="shared" si="2"/>
        <v>49.181899999999999</v>
      </c>
      <c r="I26" s="101">
        <f t="shared" si="3"/>
        <v>272884.98</v>
      </c>
      <c r="N26" s="747" t="s">
        <v>85</v>
      </c>
      <c r="O26" s="747"/>
      <c r="P26" s="789">
        <f t="shared" si="0"/>
        <v>0</v>
      </c>
      <c r="Q26" s="789"/>
      <c r="R26" s="793">
        <v>1</v>
      </c>
      <c r="S26" s="793"/>
      <c r="T26" s="95">
        <f t="shared" si="4"/>
        <v>0</v>
      </c>
      <c r="U26" s="492">
        <f t="shared" si="5"/>
        <v>0</v>
      </c>
    </row>
    <row r="27" spans="1:21" x14ac:dyDescent="0.25">
      <c r="A27" s="705" t="s">
        <v>86</v>
      </c>
      <c r="B27" s="705"/>
      <c r="C27" s="143">
        <v>19.78</v>
      </c>
      <c r="D27" s="143">
        <v>0</v>
      </c>
      <c r="E27" s="116">
        <f t="shared" si="1"/>
        <v>39.56</v>
      </c>
      <c r="F27" s="788">
        <f>'1461'!F27:G27</f>
        <v>1.1919999999999999</v>
      </c>
      <c r="G27" s="788"/>
      <c r="H27" s="80">
        <f t="shared" si="2"/>
        <v>47.155500000000004</v>
      </c>
      <c r="I27" s="101">
        <f t="shared" si="3"/>
        <v>261641.54</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363.68999999999994</v>
      </c>
      <c r="D30" s="94">
        <f>SUM(D14:D29)</f>
        <v>0</v>
      </c>
      <c r="E30" s="94">
        <f>SUM(E14:E29)</f>
        <v>727.37999999999988</v>
      </c>
      <c r="F30" s="724"/>
      <c r="G30" s="724"/>
      <c r="H30" s="99">
        <f>SUM(H14:H29)</f>
        <v>777.61770000000001</v>
      </c>
      <c r="I30" s="94">
        <f>SUM(I14:I29)</f>
        <v>4314599.3599999994</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4612688.32</v>
      </c>
      <c r="G51" s="109" t="s">
        <v>6</v>
      </c>
      <c r="H51" s="420">
        <v>5.5899999999999998E-2</v>
      </c>
      <c r="I51" s="101">
        <f>ROUND(F51*H51,2)</f>
        <v>257849.28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4612688.32</v>
      </c>
      <c r="G52" s="109" t="s">
        <v>6</v>
      </c>
      <c r="H52" s="420">
        <v>1.0699999999999999E-2</v>
      </c>
      <c r="I52" s="101">
        <f>ROUND(F52*H52,2)</f>
        <v>49355.77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307205.05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7.33</v>
      </c>
      <c r="D57" s="143">
        <v>0</v>
      </c>
      <c r="E57" s="116">
        <f t="shared" ref="E57:E65" si="10">IF(D$66=0,C57*2,C57+D57)</f>
        <v>14.66</v>
      </c>
      <c r="F57" s="462" t="s">
        <v>455</v>
      </c>
      <c r="G57" s="462">
        <v>251</v>
      </c>
      <c r="H57" s="476">
        <f>'1461'!H57</f>
        <v>1047</v>
      </c>
      <c r="I57" s="101">
        <f>ROUND(E57*H57,2)</f>
        <v>15349.02</v>
      </c>
      <c r="N57" s="778" t="s">
        <v>463</v>
      </c>
      <c r="O57" s="778"/>
      <c r="P57" s="780"/>
      <c r="Q57" s="780"/>
      <c r="R57" s="468" t="s">
        <v>455</v>
      </c>
      <c r="S57" s="468">
        <v>251</v>
      </c>
      <c r="T57" s="479">
        <f>H57</f>
        <v>1047</v>
      </c>
      <c r="U57" s="493">
        <f>ROUND(P57*T57,2)</f>
        <v>0</v>
      </c>
      <c r="V57" s="443"/>
    </row>
    <row r="58" spans="1:22" x14ac:dyDescent="0.25">
      <c r="A58" s="721"/>
      <c r="B58" s="721"/>
      <c r="C58" s="143">
        <v>2.64</v>
      </c>
      <c r="D58" s="143">
        <v>0</v>
      </c>
      <c r="E58" s="116">
        <f t="shared" si="10"/>
        <v>5.28</v>
      </c>
      <c r="F58" s="462" t="s">
        <v>455</v>
      </c>
      <c r="G58" s="462">
        <v>252</v>
      </c>
      <c r="H58" s="476">
        <f>'1461'!H58</f>
        <v>3380</v>
      </c>
      <c r="I58" s="101">
        <f t="shared" ref="I58:I65" si="11">ROUND(E58*H58,2)</f>
        <v>17846.400000000001</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0.53</v>
      </c>
      <c r="D59" s="143">
        <v>0</v>
      </c>
      <c r="E59" s="116">
        <f t="shared" si="10"/>
        <v>1.06</v>
      </c>
      <c r="F59" s="462" t="s">
        <v>455</v>
      </c>
      <c r="G59" s="462">
        <v>253</v>
      </c>
      <c r="H59" s="476">
        <f>'1461'!H59</f>
        <v>6896</v>
      </c>
      <c r="I59" s="101">
        <f t="shared" si="11"/>
        <v>7309.76</v>
      </c>
      <c r="N59" s="779"/>
      <c r="O59" s="779"/>
      <c r="P59" s="773"/>
      <c r="Q59" s="773"/>
      <c r="R59" s="468" t="s">
        <v>455</v>
      </c>
      <c r="S59" s="468">
        <v>253</v>
      </c>
      <c r="T59" s="479">
        <f t="shared" si="12"/>
        <v>6896</v>
      </c>
      <c r="U59" s="493">
        <f t="shared" si="13"/>
        <v>0</v>
      </c>
      <c r="V59" s="443"/>
    </row>
    <row r="60" spans="1:22" x14ac:dyDescent="0.25">
      <c r="A60" s="721"/>
      <c r="B60" s="721"/>
      <c r="C60" s="143">
        <v>21</v>
      </c>
      <c r="D60" s="143">
        <v>0</v>
      </c>
      <c r="E60" s="116">
        <f t="shared" si="10"/>
        <v>42</v>
      </c>
      <c r="F60" s="463" t="s">
        <v>13</v>
      </c>
      <c r="G60" s="462">
        <v>251</v>
      </c>
      <c r="H60" s="476">
        <f>'1461'!H60</f>
        <v>1173</v>
      </c>
      <c r="I60" s="101">
        <f t="shared" si="11"/>
        <v>49266</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31.5</v>
      </c>
      <c r="D66" s="97">
        <f>SUM(D57:D65)</f>
        <v>0</v>
      </c>
      <c r="E66" s="97">
        <f>SUM(E57:E65)</f>
        <v>63</v>
      </c>
      <c r="F66" s="708" t="s">
        <v>464</v>
      </c>
      <c r="G66" s="708"/>
      <c r="H66" s="708"/>
      <c r="I66" s="97">
        <f>SUM(I57:I65)</f>
        <v>89771.18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727.37999999999988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3.46E-3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777.61770000000001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3.3110000000000001E-3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727.37999999999988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3.8760000000000001E-3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727.37999999999988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3.4650000000000002E-3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727.37999999999988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3.8830000000000002E-3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3.4650000000000002E-3</v>
      </c>
      <c r="I85" s="101">
        <f>ROUND(F85*H85,2)</f>
        <v>159957.23000000001</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3.46E-3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3.8830000000000002E-3</v>
      </c>
      <c r="I90" s="101">
        <f>ROUND(F90*H90,2)</f>
        <v>73940.19</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3.8760000000000001E-3</v>
      </c>
      <c r="I92" s="101">
        <f t="shared" ref="I92:I96" si="14">ROUND(F92*H92,2)</f>
        <v>44345.9</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3.3110000000000001E-3</v>
      </c>
      <c r="I94" s="101">
        <f t="shared" si="14"/>
        <v>846810.82</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3.3110000000000001E-3</v>
      </c>
      <c r="I96" s="101">
        <f t="shared" si="14"/>
        <v>-5249.79</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3.46E-3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378.1422</v>
      </c>
      <c r="D104" s="703"/>
      <c r="E104" s="46">
        <f>H8</f>
        <v>1.0407999999999999</v>
      </c>
      <c r="F104" s="302">
        <f>'1461'!F104</f>
        <v>950.92</v>
      </c>
      <c r="G104" s="39" t="s">
        <v>12</v>
      </c>
      <c r="H104" s="101">
        <f>ROUND(C104*E104*F104,2)</f>
        <v>374253.97</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399.47550000000001</v>
      </c>
      <c r="D105" s="703"/>
      <c r="E105" s="46">
        <f>H8</f>
        <v>1.0407999999999999</v>
      </c>
      <c r="F105" s="302">
        <f>'1461'!F105</f>
        <v>907.92</v>
      </c>
      <c r="G105" s="39" t="s">
        <v>12</v>
      </c>
      <c r="H105" s="101">
        <f>ROUND(C105*E105*F105,2)</f>
        <v>377489.62</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777.61770000000001</v>
      </c>
      <c r="D107" s="716"/>
      <c r="E107" s="123"/>
      <c r="F107" s="123"/>
      <c r="G107" s="123"/>
      <c r="H107" s="124" t="s">
        <v>100</v>
      </c>
      <c r="I107" s="101">
        <f>IF(A1=75,0,H106+H105+H104)</f>
        <v>751743.59</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3</v>
      </c>
      <c r="D113" s="143">
        <v>1</v>
      </c>
      <c r="E113" s="116">
        <f>(C113+D113)/2</f>
        <v>2</v>
      </c>
      <c r="F113" s="126" t="s">
        <v>30</v>
      </c>
      <c r="G113" s="303">
        <f>'1461'!G113</f>
        <v>567</v>
      </c>
      <c r="I113" s="101">
        <f>ROUND(G113*E113,2)</f>
        <v>1134</v>
      </c>
      <c r="N113" s="755" t="s">
        <v>52</v>
      </c>
      <c r="O113" s="755"/>
      <c r="P113" s="754">
        <f>IF(H133=1,E113,0)</f>
        <v>0</v>
      </c>
      <c r="Q113" s="754"/>
      <c r="R113" s="754"/>
      <c r="S113" s="83" t="s">
        <v>30</v>
      </c>
      <c r="T113" s="58">
        <f>G113</f>
        <v>567</v>
      </c>
      <c r="U113" s="492">
        <f>ROUND(T113*P113,2)</f>
        <v>0</v>
      </c>
    </row>
    <row r="114" spans="1:21" x14ac:dyDescent="0.25">
      <c r="A114" s="717" t="s">
        <v>400</v>
      </c>
      <c r="B114" s="738"/>
      <c r="C114" s="143">
        <v>1</v>
      </c>
      <c r="D114" s="143">
        <v>0</v>
      </c>
      <c r="E114" s="116">
        <f>(C114+D114)/2</f>
        <v>0.5</v>
      </c>
      <c r="F114" s="126" t="s">
        <v>30</v>
      </c>
      <c r="G114" s="303">
        <f>'1461'!G114</f>
        <v>1821</v>
      </c>
      <c r="I114" s="101">
        <f>ROUND(G114*E114,2)</f>
        <v>910.5</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6277962.9800000004</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5970757.9300000006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816" t="s">
        <v>518</v>
      </c>
      <c r="O132" s="817"/>
      <c r="P132" s="817"/>
      <c r="Q132" s="817"/>
      <c r="R132" s="817"/>
      <c r="S132" s="817"/>
      <c r="T132" s="817"/>
      <c r="U132" s="138"/>
    </row>
    <row r="133" spans="1:21" x14ac:dyDescent="0.25">
      <c r="A133" s="705" t="s">
        <v>70</v>
      </c>
      <c r="B133" s="705"/>
      <c r="C133" s="705"/>
      <c r="D133" s="705"/>
      <c r="E133" s="705"/>
      <c r="F133" s="705"/>
      <c r="G133" s="705"/>
      <c r="H133" s="70" t="str">
        <f>IF(E30=0,"",IF((E15+E17+SUM(E19:E25))/E30&gt;0.75,1,""))</f>
        <v/>
      </c>
      <c r="I133" s="116">
        <f>U130</f>
        <v>0</v>
      </c>
      <c r="N133" s="817" t="s">
        <v>70</v>
      </c>
      <c r="O133" s="817"/>
      <c r="P133" s="817"/>
      <c r="Q133" s="817"/>
      <c r="R133" s="817"/>
      <c r="S133" s="817"/>
      <c r="T133" s="81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5970757.9300000006</v>
      </c>
      <c r="I135" s="94">
        <f>ROUND(IF(E30=0,0,IF(E30&gt;250,-(((250/E30)*H135)*IF(G135="H",0.02,0.05)),IF(G135="H",-0.02*H135,-0.05*H135))),2)</f>
        <v>-102607.27</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6175355.7100000009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-2748656.92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3426698.790000001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489528.4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195930.63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134</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138.1</v>
      </c>
      <c r="D14" s="141">
        <v>0</v>
      </c>
      <c r="E14" s="187">
        <f>IF(D$30=0,C14*2,C14+D14)</f>
        <v>276.2</v>
      </c>
      <c r="F14" s="797">
        <f>'1461'!F14:G14</f>
        <v>1.1180000000000001</v>
      </c>
      <c r="G14" s="797"/>
      <c r="H14" s="145">
        <f>ROUND(E14*F14,4)</f>
        <v>308.79160000000002</v>
      </c>
      <c r="I14" s="111">
        <f>ROUND(ROUND(ROUND(H14*$C$8,4)*($H$8),2)*(MAX($H$9,1)),2)</f>
        <v>1713325.25</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13</v>
      </c>
      <c r="D15" s="143">
        <v>0</v>
      </c>
      <c r="E15" s="116">
        <f t="shared" ref="E15:E29" si="1">IF(D$30=0,C15*2,C15+D15)</f>
        <v>26</v>
      </c>
      <c r="F15" s="788">
        <f>'1461'!F15:G15</f>
        <v>1.1180000000000001</v>
      </c>
      <c r="G15" s="788"/>
      <c r="H15" s="80">
        <f t="shared" ref="H15:H29" si="2">ROUND(E15*F15,4)</f>
        <v>29.068000000000001</v>
      </c>
      <c r="I15" s="101">
        <f t="shared" ref="I15:I29" si="3">ROUND(ROUND(ROUND(H15*$C$8,4)*($H$8),2)*(MAX($H$9,1)),2)</f>
        <v>161283.32999999999</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148.02000000000001</v>
      </c>
      <c r="D16" s="143">
        <v>0</v>
      </c>
      <c r="E16" s="116">
        <f t="shared" si="1"/>
        <v>296.04000000000002</v>
      </c>
      <c r="F16" s="788">
        <f>'1461'!F16:G16</f>
        <v>1</v>
      </c>
      <c r="G16" s="788"/>
      <c r="H16" s="80">
        <f t="shared" si="2"/>
        <v>296.04000000000002</v>
      </c>
      <c r="I16" s="101">
        <f t="shared" si="3"/>
        <v>1642573.2</v>
      </c>
      <c r="N16" s="747" t="s">
        <v>22</v>
      </c>
      <c r="O16" s="747"/>
      <c r="P16" s="789">
        <f t="shared" si="0"/>
        <v>0</v>
      </c>
      <c r="Q16" s="789"/>
      <c r="R16" s="793">
        <v>1</v>
      </c>
      <c r="S16" s="793"/>
      <c r="T16" s="95">
        <f t="shared" si="4"/>
        <v>0</v>
      </c>
      <c r="U16" s="492">
        <f t="shared" si="5"/>
        <v>0</v>
      </c>
    </row>
    <row r="17" spans="1:21" x14ac:dyDescent="0.25">
      <c r="A17" s="705" t="s">
        <v>23</v>
      </c>
      <c r="B17" s="705"/>
      <c r="C17" s="143">
        <v>26</v>
      </c>
      <c r="D17" s="143">
        <v>0</v>
      </c>
      <c r="E17" s="116">
        <f t="shared" si="1"/>
        <v>52</v>
      </c>
      <c r="F17" s="788">
        <f>'1461'!F17:G17</f>
        <v>1</v>
      </c>
      <c r="G17" s="788"/>
      <c r="H17" s="80">
        <f t="shared" si="2"/>
        <v>52</v>
      </c>
      <c r="I17" s="101">
        <f t="shared" si="3"/>
        <v>288521.17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26.4</v>
      </c>
      <c r="D26" s="143">
        <v>0</v>
      </c>
      <c r="E26" s="116">
        <f t="shared" si="1"/>
        <v>52.8</v>
      </c>
      <c r="F26" s="788">
        <f>'1461'!F26:G26</f>
        <v>1.1919999999999999</v>
      </c>
      <c r="G26" s="788"/>
      <c r="H26" s="80">
        <f t="shared" si="2"/>
        <v>62.937600000000003</v>
      </c>
      <c r="I26" s="101">
        <f t="shared" si="3"/>
        <v>349208.27</v>
      </c>
      <c r="N26" s="747" t="s">
        <v>85</v>
      </c>
      <c r="O26" s="747"/>
      <c r="P26" s="789">
        <f t="shared" si="0"/>
        <v>0</v>
      </c>
      <c r="Q26" s="789"/>
      <c r="R26" s="793">
        <v>1</v>
      </c>
      <c r="S26" s="793"/>
      <c r="T26" s="95">
        <f t="shared" si="4"/>
        <v>0</v>
      </c>
      <c r="U26" s="492">
        <f t="shared" si="5"/>
        <v>0</v>
      </c>
    </row>
    <row r="27" spans="1:21" x14ac:dyDescent="0.25">
      <c r="A27" s="705" t="s">
        <v>86</v>
      </c>
      <c r="B27" s="705"/>
      <c r="C27" s="143">
        <v>29.98</v>
      </c>
      <c r="D27" s="143">
        <v>0</v>
      </c>
      <c r="E27" s="116">
        <f t="shared" si="1"/>
        <v>59.96</v>
      </c>
      <c r="F27" s="788">
        <f>'1461'!F27:G27</f>
        <v>1.1919999999999999</v>
      </c>
      <c r="G27" s="788"/>
      <c r="H27" s="80">
        <f t="shared" si="2"/>
        <v>71.472300000000004</v>
      </c>
      <c r="I27" s="101">
        <f t="shared" si="3"/>
        <v>396562.91</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381.5</v>
      </c>
      <c r="D30" s="94">
        <f>SUM(D14:D29)</f>
        <v>0</v>
      </c>
      <c r="E30" s="94">
        <f>SUM(E14:E29)</f>
        <v>763</v>
      </c>
      <c r="F30" s="724"/>
      <c r="G30" s="724"/>
      <c r="H30" s="99">
        <f>SUM(H14:H29)</f>
        <v>820.30949999999996</v>
      </c>
      <c r="I30" s="94">
        <f>SUM(I14:I29)</f>
        <v>4551474.13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3" t="s">
        <v>528</v>
      </c>
      <c r="C51" s="26"/>
      <c r="D51" s="26"/>
      <c r="E51" s="43" t="s">
        <v>417</v>
      </c>
      <c r="F51" s="419">
        <v>5046637.4799999995</v>
      </c>
      <c r="G51" s="109" t="s">
        <v>6</v>
      </c>
      <c r="H51" s="420">
        <v>5.5899999999999998E-2</v>
      </c>
      <c r="I51" s="101">
        <f>ROUND(F51*H51,2)</f>
        <v>282107.03999999998</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5046637.4799999995</v>
      </c>
      <c r="G52" s="109" t="s">
        <v>6</v>
      </c>
      <c r="H52" s="420">
        <v>1.0699999999999999E-2</v>
      </c>
      <c r="I52" s="101">
        <f>ROUND(F52*H52,2)</f>
        <v>53999.02</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336106.06</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11.43</v>
      </c>
      <c r="D57" s="143">
        <v>0</v>
      </c>
      <c r="E57" s="116">
        <f t="shared" ref="E57:E65" si="10">IF(D$66=0,C57*2,C57+D57)</f>
        <v>22.86</v>
      </c>
      <c r="F57" s="462" t="s">
        <v>455</v>
      </c>
      <c r="G57" s="462">
        <v>251</v>
      </c>
      <c r="H57" s="476">
        <f>'1461'!H57</f>
        <v>1047</v>
      </c>
      <c r="I57" s="101">
        <f>ROUND(E57*H57,2)</f>
        <v>23934.42</v>
      </c>
      <c r="N57" s="778" t="s">
        <v>463</v>
      </c>
      <c r="O57" s="778"/>
      <c r="P57" s="780"/>
      <c r="Q57" s="780"/>
      <c r="R57" s="468" t="s">
        <v>455</v>
      </c>
      <c r="S57" s="468">
        <v>251</v>
      </c>
      <c r="T57" s="479">
        <f>H57</f>
        <v>1047</v>
      </c>
      <c r="U57" s="493">
        <f>ROUND(P57*T57,2)</f>
        <v>0</v>
      </c>
      <c r="V57" s="443"/>
    </row>
    <row r="58" spans="1:22" x14ac:dyDescent="0.25">
      <c r="A58" s="721"/>
      <c r="B58" s="721"/>
      <c r="C58" s="143">
        <v>1.3</v>
      </c>
      <c r="D58" s="143">
        <v>0</v>
      </c>
      <c r="E58" s="116">
        <f t="shared" si="10"/>
        <v>2.6</v>
      </c>
      <c r="F58" s="462" t="s">
        <v>455</v>
      </c>
      <c r="G58" s="462">
        <v>252</v>
      </c>
      <c r="H58" s="476">
        <f>'1461'!H58</f>
        <v>3380</v>
      </c>
      <c r="I58" s="101">
        <f t="shared" ref="I58:I65" si="11">ROUND(E58*H58,2)</f>
        <v>8788</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0.27</v>
      </c>
      <c r="D59" s="143">
        <v>0</v>
      </c>
      <c r="E59" s="116">
        <f t="shared" si="10"/>
        <v>0.54</v>
      </c>
      <c r="F59" s="462" t="s">
        <v>455</v>
      </c>
      <c r="G59" s="462">
        <v>253</v>
      </c>
      <c r="H59" s="476">
        <f>'1461'!H59</f>
        <v>6896</v>
      </c>
      <c r="I59" s="101">
        <f t="shared" si="11"/>
        <v>3723.84</v>
      </c>
      <c r="N59" s="779"/>
      <c r="O59" s="779"/>
      <c r="P59" s="773"/>
      <c r="Q59" s="773"/>
      <c r="R59" s="468" t="s">
        <v>455</v>
      </c>
      <c r="S59" s="468">
        <v>253</v>
      </c>
      <c r="T59" s="479">
        <f t="shared" si="12"/>
        <v>6896</v>
      </c>
      <c r="U59" s="493">
        <f t="shared" si="13"/>
        <v>0</v>
      </c>
      <c r="V59" s="443"/>
    </row>
    <row r="60" spans="1:22" x14ac:dyDescent="0.25">
      <c r="A60" s="721"/>
      <c r="B60" s="721"/>
      <c r="C60" s="143">
        <v>23.93</v>
      </c>
      <c r="D60" s="143">
        <v>0</v>
      </c>
      <c r="E60" s="116">
        <f t="shared" si="10"/>
        <v>47.86</v>
      </c>
      <c r="F60" s="463" t="s">
        <v>13</v>
      </c>
      <c r="G60" s="462">
        <v>251</v>
      </c>
      <c r="H60" s="476">
        <f>'1461'!H60</f>
        <v>1173</v>
      </c>
      <c r="I60" s="101">
        <f t="shared" si="11"/>
        <v>56139.78</v>
      </c>
      <c r="N60" s="779"/>
      <c r="O60" s="779"/>
      <c r="P60" s="773"/>
      <c r="Q60" s="773"/>
      <c r="R60" s="40" t="s">
        <v>13</v>
      </c>
      <c r="S60" s="468">
        <v>251</v>
      </c>
      <c r="T60" s="479">
        <f t="shared" si="12"/>
        <v>1173</v>
      </c>
      <c r="U60" s="493">
        <f t="shared" si="13"/>
        <v>0</v>
      </c>
      <c r="V60" s="443"/>
    </row>
    <row r="61" spans="1:22" x14ac:dyDescent="0.25">
      <c r="A61" s="721"/>
      <c r="B61" s="721"/>
      <c r="C61" s="143">
        <v>2.0699999999999998</v>
      </c>
      <c r="D61" s="143">
        <v>0</v>
      </c>
      <c r="E61" s="116">
        <f t="shared" si="10"/>
        <v>4.1399999999999997</v>
      </c>
      <c r="F61" s="463" t="s">
        <v>13</v>
      </c>
      <c r="G61" s="462">
        <v>252</v>
      </c>
      <c r="H61" s="476">
        <f>'1461'!H61</f>
        <v>3506</v>
      </c>
      <c r="I61" s="101">
        <f t="shared" si="11"/>
        <v>14514.84</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IF(D$66=0,C62*2,C62+D62)</f>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39</v>
      </c>
      <c r="D66" s="97">
        <f>SUM(D57:D65)</f>
        <v>0</v>
      </c>
      <c r="E66" s="97">
        <f>SUM(E57:E65)</f>
        <v>78</v>
      </c>
      <c r="F66" s="708" t="s">
        <v>464</v>
      </c>
      <c r="G66" s="708"/>
      <c r="H66" s="708"/>
      <c r="I66" s="97">
        <f>SUM(I57:I65)</f>
        <v>107100.87999999999</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763</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3.6289999999999998E-3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820.30949999999996</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3.4919999999999999E-3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763</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4.0660000000000002E-3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763</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3.6350000000000002E-3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763</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4.0730000000000002E-3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3.6350000000000002E-3</v>
      </c>
      <c r="I85" s="101">
        <f>ROUND(F85*H85,2)</f>
        <v>167805.06</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3.6289999999999998E-3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4.0730000000000002E-3</v>
      </c>
      <c r="I90" s="101">
        <f>ROUND(F90*H90,2)</f>
        <v>77558.17</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4.0660000000000002E-3</v>
      </c>
      <c r="I92" s="101">
        <f t="shared" ref="I92:I96" si="14">ROUND(F92*H92,2)</f>
        <v>46519.72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3.4919999999999999E-3</v>
      </c>
      <c r="I94" s="101">
        <f t="shared" si="14"/>
        <v>893102.8</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3.4919999999999999E-3</v>
      </c>
      <c r="I96" s="101">
        <f t="shared" si="14"/>
        <v>-5536.77</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3.6289999999999998E-3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400.79719999999998</v>
      </c>
      <c r="D104" s="703"/>
      <c r="E104" s="46">
        <f>H8</f>
        <v>1.0407999999999999</v>
      </c>
      <c r="F104" s="302">
        <f>'1461'!F104</f>
        <v>950.92</v>
      </c>
      <c r="G104" s="39" t="s">
        <v>12</v>
      </c>
      <c r="H104" s="101">
        <f>ROUND(C104*E104*F104,2)</f>
        <v>396676.02</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419.51230000000004</v>
      </c>
      <c r="D105" s="703"/>
      <c r="E105" s="46">
        <f>H8</f>
        <v>1.0407999999999999</v>
      </c>
      <c r="F105" s="302">
        <f>'1461'!F105</f>
        <v>907.92</v>
      </c>
      <c r="G105" s="39" t="s">
        <v>12</v>
      </c>
      <c r="H105" s="101">
        <f>ROUND(C105*E105*F105,2)</f>
        <v>396423.66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820.30950000000007</v>
      </c>
      <c r="D107" s="716"/>
      <c r="E107" s="123"/>
      <c r="F107" s="123"/>
      <c r="G107" s="123"/>
      <c r="H107" s="124" t="s">
        <v>100</v>
      </c>
      <c r="I107" s="101">
        <f>IF(A1=75,0,H106+H105+H104)</f>
        <v>793099.67999999993</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4</v>
      </c>
      <c r="D113" s="143">
        <v>1</v>
      </c>
      <c r="E113" s="116">
        <f>(C113+D113)/2</f>
        <v>2.5</v>
      </c>
      <c r="F113" s="126" t="s">
        <v>30</v>
      </c>
      <c r="G113" s="303">
        <f>'1461'!G113</f>
        <v>567</v>
      </c>
      <c r="I113" s="101">
        <f>ROUND(G113*E113,2)</f>
        <v>1417.5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6632541.169999999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6296435.1099999994</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6296435.1099999994</v>
      </c>
      <c r="I135" s="94">
        <f>ROUND(IF(E30=0,0,IF(E30&gt;250,-(((250/E30)*H135)*IF(G135="H",0.02,0.05)),IF(G135="H",-0.02*H135,-0.05*H135))),2)</f>
        <v>-103152.61</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6529388.5599999987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-3016369.13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3513019.4299999988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501859.92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211669.15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1">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350</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J11" s="255"/>
      <c r="K11" s="254"/>
      <c r="L11" s="254"/>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J12" s="253"/>
      <c r="K12" s="254"/>
      <c r="L12" s="254"/>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K13" s="254"/>
      <c r="L13" s="254"/>
      <c r="N13" s="794" t="s">
        <v>36</v>
      </c>
      <c r="O13" s="794"/>
      <c r="P13" s="795" t="s">
        <v>37</v>
      </c>
      <c r="Q13" s="795"/>
      <c r="R13" s="796" t="s">
        <v>38</v>
      </c>
      <c r="S13" s="796"/>
      <c r="T13" s="22" t="s">
        <v>39</v>
      </c>
      <c r="U13" s="23" t="s">
        <v>40</v>
      </c>
    </row>
    <row r="14" spans="1:21" x14ac:dyDescent="0.25">
      <c r="A14" s="726" t="s">
        <v>20</v>
      </c>
      <c r="B14" s="726"/>
      <c r="C14" s="143">
        <v>177.86</v>
      </c>
      <c r="D14" s="141">
        <v>0</v>
      </c>
      <c r="E14" s="187">
        <f>IF(D$30=0,C14*2,C14+D14)</f>
        <v>355.72</v>
      </c>
      <c r="F14" s="797">
        <f>'1461'!F14:G14</f>
        <v>1.1180000000000001</v>
      </c>
      <c r="G14" s="797"/>
      <c r="H14" s="145">
        <f>ROUND(E14*F14,4)</f>
        <v>397.69499999999999</v>
      </c>
      <c r="I14" s="111">
        <f>ROUND(ROUND(ROUND(H14*$C$8,4)*($H$8),2)*(MAX($H$9,1)),2)</f>
        <v>2206604.34</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14.5</v>
      </c>
      <c r="D15" s="143">
        <v>0</v>
      </c>
      <c r="E15" s="116">
        <f t="shared" ref="E15:E29" si="1">IF(D$30=0,C15*2,C15+D15)</f>
        <v>29</v>
      </c>
      <c r="F15" s="788">
        <f>'1461'!F15:G15</f>
        <v>1.1180000000000001</v>
      </c>
      <c r="G15" s="788"/>
      <c r="H15" s="80">
        <f t="shared" ref="H15:H29" si="2">ROUND(E15*F15,4)</f>
        <v>32.421999999999997</v>
      </c>
      <c r="I15" s="101">
        <f t="shared" ref="I15:I29" si="3">ROUND(ROUND(ROUND(H15*$C$8,4)*($H$8),2)*(MAX($H$9,1)),2)</f>
        <v>179892.95</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227.76</v>
      </c>
      <c r="D16" s="143">
        <v>0</v>
      </c>
      <c r="E16" s="116">
        <f t="shared" si="1"/>
        <v>455.52</v>
      </c>
      <c r="F16" s="788">
        <f>'1461'!F16:G16</f>
        <v>1</v>
      </c>
      <c r="G16" s="788"/>
      <c r="H16" s="80">
        <f t="shared" si="2"/>
        <v>455.52</v>
      </c>
      <c r="I16" s="101">
        <f t="shared" si="3"/>
        <v>2527445.42</v>
      </c>
      <c r="N16" s="747" t="s">
        <v>22</v>
      </c>
      <c r="O16" s="747"/>
      <c r="P16" s="789">
        <f t="shared" si="0"/>
        <v>0</v>
      </c>
      <c r="Q16" s="789"/>
      <c r="R16" s="793">
        <v>1</v>
      </c>
      <c r="S16" s="793"/>
      <c r="T16" s="95">
        <f t="shared" si="4"/>
        <v>0</v>
      </c>
      <c r="U16" s="492">
        <f t="shared" si="5"/>
        <v>0</v>
      </c>
    </row>
    <row r="17" spans="1:21" x14ac:dyDescent="0.25">
      <c r="A17" s="705" t="s">
        <v>23</v>
      </c>
      <c r="B17" s="705"/>
      <c r="C17" s="143">
        <v>30.5</v>
      </c>
      <c r="D17" s="143">
        <v>0</v>
      </c>
      <c r="E17" s="116">
        <f t="shared" si="1"/>
        <v>61</v>
      </c>
      <c r="F17" s="788">
        <f>'1461'!F17:G17</f>
        <v>1</v>
      </c>
      <c r="G17" s="788"/>
      <c r="H17" s="80">
        <f t="shared" si="2"/>
        <v>61</v>
      </c>
      <c r="I17" s="101">
        <f t="shared" si="3"/>
        <v>338457.52</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19.36</v>
      </c>
      <c r="D26" s="143">
        <v>0</v>
      </c>
      <c r="E26" s="116">
        <f t="shared" si="1"/>
        <v>38.72</v>
      </c>
      <c r="F26" s="788">
        <f>'1461'!F26:G26</f>
        <v>1.1919999999999999</v>
      </c>
      <c r="G26" s="788"/>
      <c r="H26" s="80">
        <f t="shared" si="2"/>
        <v>46.154200000000003</v>
      </c>
      <c r="I26" s="101">
        <f t="shared" si="3"/>
        <v>256085.84</v>
      </c>
      <c r="N26" s="747" t="s">
        <v>85</v>
      </c>
      <c r="O26" s="747"/>
      <c r="P26" s="789">
        <f t="shared" si="0"/>
        <v>0</v>
      </c>
      <c r="Q26" s="789"/>
      <c r="R26" s="793">
        <v>1</v>
      </c>
      <c r="S26" s="793"/>
      <c r="T26" s="95">
        <f t="shared" si="4"/>
        <v>0</v>
      </c>
      <c r="U26" s="492">
        <f t="shared" si="5"/>
        <v>0</v>
      </c>
    </row>
    <row r="27" spans="1:21" x14ac:dyDescent="0.25">
      <c r="A27" s="705" t="s">
        <v>86</v>
      </c>
      <c r="B27" s="705"/>
      <c r="C27" s="143">
        <v>10.93</v>
      </c>
      <c r="D27" s="143">
        <v>0</v>
      </c>
      <c r="E27" s="116">
        <f t="shared" si="1"/>
        <v>21.86</v>
      </c>
      <c r="F27" s="788">
        <f>'1461'!F27:G27</f>
        <v>1.1919999999999999</v>
      </c>
      <c r="G27" s="788"/>
      <c r="H27" s="80">
        <f t="shared" si="2"/>
        <v>26.057099999999998</v>
      </c>
      <c r="I27" s="101">
        <f t="shared" si="3"/>
        <v>144577.4</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v>480.91</v>
      </c>
      <c r="D30" s="94">
        <f>SUM(D14:D29)</f>
        <v>0</v>
      </c>
      <c r="E30" s="94">
        <f>SUM(E14:E29)</f>
        <v>961.82</v>
      </c>
      <c r="F30" s="724"/>
      <c r="G30" s="724"/>
      <c r="H30" s="99">
        <f>SUM(H14:H29)</f>
        <v>1018.8482999999999</v>
      </c>
      <c r="I30" s="94">
        <f>SUM(I14:I29)</f>
        <v>5653063.4700000007</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5612096.7999999998</v>
      </c>
      <c r="G51" s="109" t="s">
        <v>6</v>
      </c>
      <c r="H51" s="420">
        <v>5.5899999999999998E-2</v>
      </c>
      <c r="I51" s="101">
        <f>ROUND(F51*H51,2)</f>
        <v>313716.21000000002</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5612096.7999999998</v>
      </c>
      <c r="G52" s="109" t="s">
        <v>6</v>
      </c>
      <c r="H52" s="420">
        <v>1.0699999999999999E-2</v>
      </c>
      <c r="I52" s="101">
        <f>ROUND(F52*H52,2)</f>
        <v>60049.440000000002</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373765.65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8.39</v>
      </c>
      <c r="D57" s="143">
        <v>0</v>
      </c>
      <c r="E57" s="116">
        <f t="shared" ref="E57:E65" si="10">IF(D$66=0,C57*2,C57+D57)</f>
        <v>16.78</v>
      </c>
      <c r="F57" s="462" t="s">
        <v>455</v>
      </c>
      <c r="G57" s="462">
        <v>251</v>
      </c>
      <c r="H57" s="476">
        <f>'1461'!H57</f>
        <v>1047</v>
      </c>
      <c r="I57" s="101">
        <f>ROUND(E57*H57,2)</f>
        <v>17568.66</v>
      </c>
      <c r="N57" s="778" t="s">
        <v>463</v>
      </c>
      <c r="O57" s="778"/>
      <c r="P57" s="780"/>
      <c r="Q57" s="780"/>
      <c r="R57" s="468" t="s">
        <v>455</v>
      </c>
      <c r="S57" s="468">
        <v>251</v>
      </c>
      <c r="T57" s="479">
        <f>H57</f>
        <v>1047</v>
      </c>
      <c r="U57" s="493">
        <f>ROUND(P57*T57,2)</f>
        <v>0</v>
      </c>
      <c r="V57" s="443"/>
    </row>
    <row r="58" spans="1:22" x14ac:dyDescent="0.25">
      <c r="A58" s="721"/>
      <c r="B58" s="721"/>
      <c r="C58" s="143">
        <v>6.11</v>
      </c>
      <c r="D58" s="143">
        <v>0</v>
      </c>
      <c r="E58" s="116">
        <f t="shared" si="10"/>
        <v>12.22</v>
      </c>
      <c r="F58" s="462" t="s">
        <v>455</v>
      </c>
      <c r="G58" s="462">
        <v>252</v>
      </c>
      <c r="H58" s="476">
        <f>'1461'!H58</f>
        <v>3380</v>
      </c>
      <c r="I58" s="101">
        <f t="shared" ref="I58:I65" si="11">ROUND(E58*H58,2)</f>
        <v>41303.599999999999</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22.54</v>
      </c>
      <c r="D60" s="143">
        <v>0</v>
      </c>
      <c r="E60" s="116">
        <f t="shared" si="10"/>
        <v>45.08</v>
      </c>
      <c r="F60" s="463" t="s">
        <v>13</v>
      </c>
      <c r="G60" s="462">
        <v>251</v>
      </c>
      <c r="H60" s="476">
        <f>'1461'!H60</f>
        <v>1173</v>
      </c>
      <c r="I60" s="101">
        <f t="shared" si="11"/>
        <v>52878.84</v>
      </c>
      <c r="N60" s="779"/>
      <c r="O60" s="779"/>
      <c r="P60" s="773"/>
      <c r="Q60" s="773"/>
      <c r="R60" s="40" t="s">
        <v>13</v>
      </c>
      <c r="S60" s="468">
        <v>251</v>
      </c>
      <c r="T60" s="479">
        <f t="shared" si="12"/>
        <v>1173</v>
      </c>
      <c r="U60" s="493">
        <f t="shared" si="13"/>
        <v>0</v>
      </c>
      <c r="V60" s="443"/>
    </row>
    <row r="61" spans="1:22" x14ac:dyDescent="0.25">
      <c r="A61" s="721"/>
      <c r="B61" s="721"/>
      <c r="C61" s="143">
        <v>7.96</v>
      </c>
      <c r="D61" s="143">
        <v>0</v>
      </c>
      <c r="E61" s="116">
        <f t="shared" si="10"/>
        <v>15.92</v>
      </c>
      <c r="F61" s="463" t="s">
        <v>13</v>
      </c>
      <c r="G61" s="462">
        <v>252</v>
      </c>
      <c r="H61" s="476">
        <f>'1461'!H61</f>
        <v>3506</v>
      </c>
      <c r="I61" s="101">
        <f t="shared" si="11"/>
        <v>55815.519999999997</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45</v>
      </c>
      <c r="D66" s="97">
        <f>SUM(D57:D65)</f>
        <v>0</v>
      </c>
      <c r="E66" s="97">
        <f>SUM(E57:E65)</f>
        <v>90</v>
      </c>
      <c r="F66" s="708" t="s">
        <v>464</v>
      </c>
      <c r="G66" s="708"/>
      <c r="H66" s="708"/>
      <c r="I66" s="97">
        <f>SUM(I57:I65)</f>
        <v>167566.62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961.82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4.5750000000000001E-3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1018.8482999999999</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4.3379999999999998E-3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961.82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5.1250000000000002E-3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961.82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4.5820000000000001E-3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961.82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5.1339999999999997E-3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4.5820000000000001E-3</v>
      </c>
      <c r="I85" s="101">
        <f>ROUND(F85*H85,2)</f>
        <v>211522.09</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4.5750000000000001E-3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5.1339999999999997E-3</v>
      </c>
      <c r="I90" s="101">
        <f>ROUND(F90*H90,2)</f>
        <v>97761.76</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5.1250000000000002E-3</v>
      </c>
      <c r="I92" s="101">
        <f t="shared" ref="I92:I96" si="14">ROUND(F92*H92,2)</f>
        <v>58635.9</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4.3379999999999998E-3</v>
      </c>
      <c r="I94" s="101">
        <f t="shared" si="14"/>
        <v>1109473.07</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4.3379999999999998E-3</v>
      </c>
      <c r="I96" s="101">
        <f t="shared" si="14"/>
        <v>-6878.15</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4.5750000000000001E-3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476.27119999999996</v>
      </c>
      <c r="D104" s="703"/>
      <c r="E104" s="46">
        <f>H8</f>
        <v>1.0407999999999999</v>
      </c>
      <c r="F104" s="302">
        <f>'1461'!F104</f>
        <v>950.92</v>
      </c>
      <c r="G104" s="39" t="s">
        <v>12</v>
      </c>
      <c r="H104" s="101">
        <f>ROUND(C104*E104*F104,2)</f>
        <v>471373.96</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542.57709999999997</v>
      </c>
      <c r="D105" s="703"/>
      <c r="E105" s="46">
        <f>H8</f>
        <v>1.0407999999999999</v>
      </c>
      <c r="F105" s="302">
        <f>'1461'!F105</f>
        <v>907.92</v>
      </c>
      <c r="G105" s="39" t="s">
        <v>12</v>
      </c>
      <c r="H105" s="101">
        <f>ROUND(C105*E105*F105,2)</f>
        <v>512715.36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1018.8482999999999</v>
      </c>
      <c r="D107" s="716"/>
      <c r="E107" s="123"/>
      <c r="F107" s="123"/>
      <c r="G107" s="123"/>
      <c r="H107" s="124" t="s">
        <v>100</v>
      </c>
      <c r="I107" s="101">
        <f>IF(A1=75,0,H106+H105+H104)</f>
        <v>984089.32000000007</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160</v>
      </c>
      <c r="D113" s="143">
        <v>172</v>
      </c>
      <c r="E113" s="116">
        <f>(C113+D113)/2</f>
        <v>166</v>
      </c>
      <c r="F113" s="126" t="s">
        <v>30</v>
      </c>
      <c r="G113" s="303">
        <f>'1461'!G113</f>
        <v>567</v>
      </c>
      <c r="I113" s="101">
        <f>ROUND(G113*E113,2)</f>
        <v>94122</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8369356.080000001</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7995590.4300000006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7995590.4300000006</v>
      </c>
      <c r="I135" s="94">
        <f>ROUND(IF(E30=0,0,IF(E30&gt;250,-(((250/E30)*H135)*IF(G135="H",0.02,0.05)),IF(G135="H",-0.02*H135,-0.05*H135))),2)</f>
        <v>-103912.25</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8265443.830000001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-3419543.37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4845900.4600000009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692271.49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295867.27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102:D102"/>
    <mergeCell ref="C103:D103"/>
    <mergeCell ref="N103:O103"/>
    <mergeCell ref="P103:Q103"/>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FFCCCC"/>
  </sheetPr>
  <dimension ref="A1:V221"/>
  <sheetViews>
    <sheetView topLeftCell="A18" workbookViewId="0">
      <selection activeCell="D30" sqref="D3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243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39.799999999999997</v>
      </c>
      <c r="D14" s="141">
        <v>0</v>
      </c>
      <c r="E14" s="187">
        <f>IF(D$30=0,C14*2,C14+D14)</f>
        <v>79.599999999999994</v>
      </c>
      <c r="F14" s="797">
        <f>'1461'!F14:G14</f>
        <v>1.1180000000000001</v>
      </c>
      <c r="G14" s="797"/>
      <c r="H14" s="145">
        <f>ROUND(E14*F14,4)</f>
        <v>88.992800000000003</v>
      </c>
      <c r="I14" s="111">
        <f>ROUND(ROUND(ROUND(H14*$C$8,4)*($H$8),2)*(MAX($H$9,1)),2)</f>
        <v>493775.13</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2.5</v>
      </c>
      <c r="D15" s="143">
        <v>0</v>
      </c>
      <c r="E15" s="116">
        <f t="shared" ref="E15:E29" si="1">IF(D$30=0,C15*2,C15+D15)</f>
        <v>5</v>
      </c>
      <c r="F15" s="788">
        <f>'1461'!F15:G15</f>
        <v>1.1180000000000001</v>
      </c>
      <c r="G15" s="788"/>
      <c r="H15" s="80">
        <f t="shared" ref="H15:H29" si="2">ROUND(E15*F15,4)</f>
        <v>5.59</v>
      </c>
      <c r="I15" s="101">
        <f t="shared" ref="I15:I29" si="3">ROUND(ROUND(ROUND(H15*$C$8,4)*($H$8),2)*(MAX($H$9,1)),2)</f>
        <v>31016.03</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66.459999999999994</v>
      </c>
      <c r="D16" s="143">
        <v>0</v>
      </c>
      <c r="E16" s="116">
        <f t="shared" si="1"/>
        <v>132.91999999999999</v>
      </c>
      <c r="F16" s="788">
        <f>'1461'!F16:G16</f>
        <v>1</v>
      </c>
      <c r="G16" s="788"/>
      <c r="H16" s="80">
        <f t="shared" si="2"/>
        <v>132.91999999999999</v>
      </c>
      <c r="I16" s="101">
        <f t="shared" si="3"/>
        <v>737504.49</v>
      </c>
      <c r="N16" s="747" t="s">
        <v>22</v>
      </c>
      <c r="O16" s="747"/>
      <c r="P16" s="789">
        <f t="shared" si="0"/>
        <v>0</v>
      </c>
      <c r="Q16" s="789"/>
      <c r="R16" s="793">
        <v>1</v>
      </c>
      <c r="S16" s="793"/>
      <c r="T16" s="95">
        <f t="shared" si="4"/>
        <v>0</v>
      </c>
      <c r="U16" s="492">
        <f t="shared" si="5"/>
        <v>0</v>
      </c>
    </row>
    <row r="17" spans="1:21" x14ac:dyDescent="0.25">
      <c r="A17" s="705" t="s">
        <v>23</v>
      </c>
      <c r="B17" s="705"/>
      <c r="C17" s="143">
        <v>4</v>
      </c>
      <c r="D17" s="143">
        <v>0</v>
      </c>
      <c r="E17" s="116">
        <f t="shared" si="1"/>
        <v>8</v>
      </c>
      <c r="F17" s="788">
        <f>'1461'!F17:G17</f>
        <v>1</v>
      </c>
      <c r="G17" s="788"/>
      <c r="H17" s="80">
        <f t="shared" si="2"/>
        <v>8</v>
      </c>
      <c r="I17" s="101">
        <f t="shared" si="3"/>
        <v>44387.87</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6.08</v>
      </c>
      <c r="D26" s="143">
        <v>0</v>
      </c>
      <c r="E26" s="116">
        <f t="shared" si="1"/>
        <v>12.16</v>
      </c>
      <c r="F26" s="788">
        <f>'1461'!F26:G26</f>
        <v>1.1919999999999999</v>
      </c>
      <c r="G26" s="788"/>
      <c r="H26" s="80">
        <f t="shared" si="2"/>
        <v>14.4947</v>
      </c>
      <c r="I26" s="101">
        <f t="shared" si="3"/>
        <v>80423.61</v>
      </c>
      <c r="N26" s="747" t="s">
        <v>85</v>
      </c>
      <c r="O26" s="747"/>
      <c r="P26" s="789">
        <f t="shared" si="0"/>
        <v>0</v>
      </c>
      <c r="Q26" s="789"/>
      <c r="R26" s="793">
        <v>1</v>
      </c>
      <c r="S26" s="793"/>
      <c r="T26" s="95">
        <f t="shared" si="4"/>
        <v>0</v>
      </c>
      <c r="U26" s="492">
        <f t="shared" si="5"/>
        <v>0</v>
      </c>
    </row>
    <row r="27" spans="1:21" x14ac:dyDescent="0.25">
      <c r="A27" s="705" t="s">
        <v>86</v>
      </c>
      <c r="B27" s="705"/>
      <c r="C27" s="143">
        <v>3.54</v>
      </c>
      <c r="D27" s="143">
        <v>0</v>
      </c>
      <c r="E27" s="116">
        <f t="shared" si="1"/>
        <v>7.08</v>
      </c>
      <c r="F27" s="788">
        <f>'1461'!F27:G27</f>
        <v>1.1919999999999999</v>
      </c>
      <c r="G27" s="788"/>
      <c r="H27" s="80">
        <f t="shared" si="2"/>
        <v>8.4393999999999991</v>
      </c>
      <c r="I27" s="101">
        <f t="shared" si="3"/>
        <v>46825.88</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122.38</v>
      </c>
      <c r="D30" s="94">
        <f>SUM(D14:D29)</f>
        <v>0</v>
      </c>
      <c r="E30" s="94">
        <f>SUM(E14:E29)</f>
        <v>244.76</v>
      </c>
      <c r="F30" s="724"/>
      <c r="G30" s="724"/>
      <c r="H30" s="99">
        <f>SUM(H14:H29)</f>
        <v>258.43689999999998</v>
      </c>
      <c r="I30" s="94">
        <f>SUM(I14:I29)</f>
        <v>1433933.01</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1623701.6999999997</v>
      </c>
      <c r="G51" s="109" t="s">
        <v>6</v>
      </c>
      <c r="H51" s="420">
        <v>5.5899999999999998E-2</v>
      </c>
      <c r="I51" s="101">
        <f>ROUND(F51*H51,2)</f>
        <v>90764.93</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1623701.6999999997</v>
      </c>
      <c r="G52" s="109" t="s">
        <v>6</v>
      </c>
      <c r="H52" s="420">
        <v>1.0699999999999999E-2</v>
      </c>
      <c r="I52" s="101">
        <f>ROUND(F52*H52,2)</f>
        <v>17373.61</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108138.54</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1.06</v>
      </c>
      <c r="D57" s="143">
        <v>0</v>
      </c>
      <c r="E57" s="116">
        <f t="shared" ref="E57:E65" si="10">IF(D$66=0,C57*2,C57+D57)</f>
        <v>2.12</v>
      </c>
      <c r="F57" s="462" t="s">
        <v>455</v>
      </c>
      <c r="G57" s="462">
        <v>251</v>
      </c>
      <c r="H57" s="476">
        <f>'1461'!H57</f>
        <v>1047</v>
      </c>
      <c r="I57" s="101">
        <f>ROUND(E57*H57,2)</f>
        <v>2219.64</v>
      </c>
      <c r="N57" s="778" t="s">
        <v>463</v>
      </c>
      <c r="O57" s="778"/>
      <c r="P57" s="780"/>
      <c r="Q57" s="780"/>
      <c r="R57" s="468" t="s">
        <v>455</v>
      </c>
      <c r="S57" s="468">
        <v>251</v>
      </c>
      <c r="T57" s="479">
        <f>H57</f>
        <v>1047</v>
      </c>
      <c r="U57" s="493">
        <f>ROUND(P57*T57,2)</f>
        <v>0</v>
      </c>
      <c r="V57" s="443"/>
    </row>
    <row r="58" spans="1:22" x14ac:dyDescent="0.25">
      <c r="A58" s="721"/>
      <c r="B58" s="721"/>
      <c r="C58" s="143">
        <v>1.44</v>
      </c>
      <c r="D58" s="143">
        <v>0</v>
      </c>
      <c r="E58" s="116">
        <f t="shared" si="10"/>
        <v>2.88</v>
      </c>
      <c r="F58" s="462" t="s">
        <v>455</v>
      </c>
      <c r="G58" s="462">
        <v>252</v>
      </c>
      <c r="H58" s="476">
        <f>'1461'!H58</f>
        <v>3380</v>
      </c>
      <c r="I58" s="101">
        <f t="shared" ref="I58:I65" si="11">ROUND(E58*H58,2)</f>
        <v>9734.4</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3.77</v>
      </c>
      <c r="D60" s="143">
        <v>0</v>
      </c>
      <c r="E60" s="116">
        <f t="shared" si="10"/>
        <v>7.54</v>
      </c>
      <c r="F60" s="463" t="s">
        <v>13</v>
      </c>
      <c r="G60" s="462">
        <v>251</v>
      </c>
      <c r="H60" s="476">
        <f>'1461'!H60</f>
        <v>1173</v>
      </c>
      <c r="I60" s="101">
        <f t="shared" si="11"/>
        <v>8844.42</v>
      </c>
      <c r="N60" s="779"/>
      <c r="O60" s="779"/>
      <c r="P60" s="773"/>
      <c r="Q60" s="773"/>
      <c r="R60" s="40" t="s">
        <v>13</v>
      </c>
      <c r="S60" s="468">
        <v>251</v>
      </c>
      <c r="T60" s="479">
        <f t="shared" si="12"/>
        <v>1173</v>
      </c>
      <c r="U60" s="493">
        <f t="shared" si="13"/>
        <v>0</v>
      </c>
      <c r="V60" s="443"/>
    </row>
    <row r="61" spans="1:22" x14ac:dyDescent="0.25">
      <c r="A61" s="721"/>
      <c r="B61" s="721"/>
      <c r="C61" s="143">
        <v>0.23</v>
      </c>
      <c r="D61" s="143">
        <v>0</v>
      </c>
      <c r="E61" s="116">
        <f t="shared" si="10"/>
        <v>0.46</v>
      </c>
      <c r="F61" s="463" t="s">
        <v>13</v>
      </c>
      <c r="G61" s="462">
        <v>252</v>
      </c>
      <c r="H61" s="476">
        <f>'1461'!H61</f>
        <v>3506</v>
      </c>
      <c r="I61" s="101">
        <f t="shared" si="11"/>
        <v>1612.76</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6.5</v>
      </c>
      <c r="D66" s="97">
        <f>SUM(D57:D65)</f>
        <v>0</v>
      </c>
      <c r="E66" s="97">
        <f>SUM(E57:E65)</f>
        <v>13</v>
      </c>
      <c r="F66" s="708" t="s">
        <v>464</v>
      </c>
      <c r="G66" s="708"/>
      <c r="H66" s="708"/>
      <c r="I66" s="97">
        <f>SUM(I57:I65)</f>
        <v>22411.219999999998</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244.76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1.1640000000000001E-3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258.43689999999998</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1.1000000000000001E-3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244.76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1.304E-3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244.76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1.1659999999999999E-3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244.76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1.307E-3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1.1659999999999999E-3</v>
      </c>
      <c r="I85" s="101">
        <f>ROUND(F85*H85,2)</f>
        <v>53826.879999999997</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1.1640000000000001E-3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1.307E-3</v>
      </c>
      <c r="I90" s="101">
        <f>ROUND(F90*H90,2)</f>
        <v>24887.93</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1.304E-3</v>
      </c>
      <c r="I92" s="101">
        <f t="shared" ref="I92:I96" si="14">ROUND(F92*H92,2)</f>
        <v>14919.26</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1.1000000000000001E-3</v>
      </c>
      <c r="I94" s="101">
        <f t="shared" si="14"/>
        <v>281332.5</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1.1000000000000001E-3</v>
      </c>
      <c r="I96" s="101">
        <f t="shared" si="14"/>
        <v>-1744.11</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v>-1</v>
      </c>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1.1640000000000001E-3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109.0775</v>
      </c>
      <c r="D104" s="703"/>
      <c r="E104" s="46">
        <f>H8</f>
        <v>1.0407999999999999</v>
      </c>
      <c r="F104" s="302">
        <f>'1461'!F104</f>
        <v>950.92</v>
      </c>
      <c r="G104" s="39" t="s">
        <v>12</v>
      </c>
      <c r="H104" s="101">
        <f>ROUND(C104*E104*F104,2)</f>
        <v>107955.91</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149.35939999999999</v>
      </c>
      <c r="D105" s="703"/>
      <c r="E105" s="46">
        <f>H8</f>
        <v>1.0407999999999999</v>
      </c>
      <c r="F105" s="302">
        <f>'1461'!F105</f>
        <v>907.92</v>
      </c>
      <c r="G105" s="39" t="s">
        <v>12</v>
      </c>
      <c r="H105" s="101">
        <f>ROUND(C105*E105*F105,2)</f>
        <v>141139.13</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258.43689999999998</v>
      </c>
      <c r="D107" s="716"/>
      <c r="E107" s="123"/>
      <c r="F107" s="123"/>
      <c r="G107" s="123"/>
      <c r="H107" s="124" t="s">
        <v>100</v>
      </c>
      <c r="I107" s="101">
        <f>IF(A1=75,0,H106+H105+H104)</f>
        <v>249095.04000000001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60</v>
      </c>
      <c r="D113" s="143">
        <v>57</v>
      </c>
      <c r="E113" s="144">
        <f>(C113+D113)/2</f>
        <v>58.5</v>
      </c>
      <c r="F113" s="126" t="s">
        <v>30</v>
      </c>
      <c r="G113" s="303">
        <f>'1461'!G113</f>
        <v>567</v>
      </c>
      <c r="I113" s="101">
        <f>ROUND(G113*E113,2)</f>
        <v>33169.5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2111831.2299999995</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2003692.6899999995</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2003692.6899999995</v>
      </c>
      <c r="I135" s="94">
        <f>ROUND(IF(E30=0,0,IF(E30&gt;250,-(((250/E30)*H135)*IF(G135="H",0.02,0.05)),IF(G135="H",-0.02*H135,-0.05*H135))),2)</f>
        <v>-100184.63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2011646.5999999996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-960744.21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1050902.3899999997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150128.91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rgb="FFFFCCCC"/>
  </sheetPr>
  <dimension ref="A1:V221"/>
  <sheetViews>
    <sheetView topLeftCell="A25" workbookViewId="0">
      <selection activeCell="I49" sqref="I49"/>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235</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49.24</v>
      </c>
      <c r="D18" s="143">
        <v>0</v>
      </c>
      <c r="E18" s="116">
        <f t="shared" si="1"/>
        <v>98.48</v>
      </c>
      <c r="F18" s="788">
        <f>'1461'!F18:G18</f>
        <v>0.97799999999999998</v>
      </c>
      <c r="G18" s="788"/>
      <c r="H18" s="80">
        <f t="shared" si="2"/>
        <v>96.313400000000001</v>
      </c>
      <c r="I18" s="101">
        <f t="shared" si="3"/>
        <v>534393.36</v>
      </c>
      <c r="N18" s="747" t="s">
        <v>24</v>
      </c>
      <c r="O18" s="747"/>
      <c r="P18" s="789">
        <f t="shared" si="0"/>
        <v>0</v>
      </c>
      <c r="Q18" s="789"/>
      <c r="R18" s="793">
        <v>1</v>
      </c>
      <c r="S18" s="793"/>
      <c r="T18" s="95">
        <f t="shared" si="4"/>
        <v>0</v>
      </c>
      <c r="U18" s="492">
        <f t="shared" si="5"/>
        <v>0</v>
      </c>
    </row>
    <row r="19" spans="1:21" x14ac:dyDescent="0.25">
      <c r="A19" s="705" t="s">
        <v>25</v>
      </c>
      <c r="B19" s="705"/>
      <c r="C19" s="143">
        <v>10.88</v>
      </c>
      <c r="D19" s="143">
        <v>0</v>
      </c>
      <c r="E19" s="116">
        <f t="shared" si="1"/>
        <v>21.76</v>
      </c>
      <c r="F19" s="788">
        <f>'1461'!F19:G19</f>
        <v>0.97799999999999998</v>
      </c>
      <c r="G19" s="788"/>
      <c r="H19" s="80">
        <f t="shared" si="2"/>
        <v>21.281300000000002</v>
      </c>
      <c r="I19" s="101">
        <f t="shared" si="3"/>
        <v>118078.95</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4.0199999999999996</v>
      </c>
      <c r="D28" s="143">
        <v>0</v>
      </c>
      <c r="E28" s="116">
        <f t="shared" si="1"/>
        <v>8.0399999999999991</v>
      </c>
      <c r="F28" s="788">
        <f>'1461'!F28:G28</f>
        <v>1.1919999999999999</v>
      </c>
      <c r="G28" s="788"/>
      <c r="H28" s="80">
        <f t="shared" si="2"/>
        <v>9.5837000000000003</v>
      </c>
      <c r="I28" s="101">
        <f t="shared" si="3"/>
        <v>53175.01</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64.14</v>
      </c>
      <c r="D30" s="94">
        <f>SUM(D14:D29)</f>
        <v>0</v>
      </c>
      <c r="E30" s="94">
        <f>SUM(E14:E29)</f>
        <v>128.28</v>
      </c>
      <c r="F30" s="724"/>
      <c r="G30" s="724"/>
      <c r="H30" s="99">
        <f>SUM(H14:H29)</f>
        <v>127.17840000000001</v>
      </c>
      <c r="I30" s="94">
        <f>SUM(I14:I29)</f>
        <v>705647.32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685148.45000000007</v>
      </c>
      <c r="G51" s="109" t="s">
        <v>6</v>
      </c>
      <c r="H51" s="420">
        <v>5.5899999999999998E-2</v>
      </c>
      <c r="I51" s="101">
        <f>ROUND(F51*H51,2)</f>
        <v>38299.800000000003</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685148.45000000007</v>
      </c>
      <c r="G52" s="109" t="s">
        <v>6</v>
      </c>
      <c r="H52" s="420">
        <v>1.0699999999999999E-2</v>
      </c>
      <c r="I52" s="101">
        <f>ROUND(F52*H52,2)</f>
        <v>7331.09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45630.89</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10.61</v>
      </c>
      <c r="D63" s="143">
        <v>0</v>
      </c>
      <c r="E63" s="116">
        <f t="shared" si="10"/>
        <v>21.22</v>
      </c>
      <c r="F63" s="463" t="s">
        <v>14</v>
      </c>
      <c r="G63" s="462">
        <v>251</v>
      </c>
      <c r="H63" s="476">
        <f>'1461'!H63</f>
        <v>835</v>
      </c>
      <c r="I63" s="101">
        <f t="shared" si="11"/>
        <v>17718.7</v>
      </c>
      <c r="N63" s="779"/>
      <c r="O63" s="779"/>
      <c r="P63" s="773"/>
      <c r="Q63" s="773"/>
      <c r="R63" s="40" t="s">
        <v>14</v>
      </c>
      <c r="S63" s="468">
        <v>251</v>
      </c>
      <c r="T63" s="479">
        <f t="shared" si="12"/>
        <v>835</v>
      </c>
      <c r="U63" s="493">
        <f t="shared" si="13"/>
        <v>0</v>
      </c>
      <c r="V63" s="443"/>
    </row>
    <row r="64" spans="1:22" x14ac:dyDescent="0.25">
      <c r="A64" s="721"/>
      <c r="B64" s="721"/>
      <c r="C64" s="143">
        <v>0.27</v>
      </c>
      <c r="D64" s="143">
        <v>0</v>
      </c>
      <c r="E64" s="116">
        <f t="shared" si="10"/>
        <v>0.54</v>
      </c>
      <c r="F64" s="463" t="s">
        <v>14</v>
      </c>
      <c r="G64" s="462">
        <v>252</v>
      </c>
      <c r="H64" s="476">
        <f>'1461'!H64</f>
        <v>3168</v>
      </c>
      <c r="I64" s="101">
        <f t="shared" si="11"/>
        <v>1710.72</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10.879999999999999</v>
      </c>
      <c r="D66" s="97">
        <f>SUM(D57:D65)</f>
        <v>0</v>
      </c>
      <c r="E66" s="97">
        <f>SUM(E57:E65)</f>
        <v>21.759999999999998</v>
      </c>
      <c r="F66" s="708" t="s">
        <v>464</v>
      </c>
      <c r="G66" s="708"/>
      <c r="H66" s="708"/>
      <c r="I66" s="97">
        <f>SUM(I57:I65)</f>
        <v>19429.420000000002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128.28</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6.0999999999999997E-4</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127.17840000000001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5.4100000000000003E-4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128.28</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6.8400000000000004E-4</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128.28</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6.11E-4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128.28</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6.8499999999999995E-4</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6.11E-4</v>
      </c>
      <c r="I85" s="101">
        <f>ROUND(F85*H85,2)</f>
        <v>28206.02</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6.0999999999999997E-4</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6.8499999999999995E-4</v>
      </c>
      <c r="I90" s="101">
        <f>ROUND(F90*H90,2)</f>
        <v>13043.79</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6.8400000000000004E-4</v>
      </c>
      <c r="I92" s="101">
        <f t="shared" ref="I92:I96" si="14">ROUND(F92*H92,2)</f>
        <v>7825.75</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5.4100000000000003E-4</v>
      </c>
      <c r="I94" s="101">
        <f t="shared" si="14"/>
        <v>138364.44</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5.4100000000000003E-4</v>
      </c>
      <c r="I96" s="101">
        <f t="shared" si="14"/>
        <v>-857.79</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6.0999999999999997E-4</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127.17840000000001</v>
      </c>
      <c r="D106" s="703"/>
      <c r="E106" s="46">
        <f>H8</f>
        <v>1.0407999999999999</v>
      </c>
      <c r="F106" s="302">
        <f>'1461'!F106</f>
        <v>910.12</v>
      </c>
      <c r="G106" s="39" t="s">
        <v>12</v>
      </c>
      <c r="H106" s="94">
        <f>ROUND(C106*E106*F106,2)</f>
        <v>120470.11</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127.17840000000001</v>
      </c>
      <c r="D107" s="716"/>
      <c r="E107" s="123"/>
      <c r="F107" s="123"/>
      <c r="G107" s="123"/>
      <c r="H107" s="124" t="s">
        <v>100</v>
      </c>
      <c r="I107" s="101">
        <f>IF(A1=75,0,H106+H105+H104)</f>
        <v>120470.11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40</v>
      </c>
      <c r="D113" s="143">
        <v>36</v>
      </c>
      <c r="E113" s="144">
        <f>(C113+D113)/2</f>
        <v>38</v>
      </c>
      <c r="F113" s="126" t="s">
        <v>30</v>
      </c>
      <c r="G113" s="303">
        <f>'1461'!G113</f>
        <v>567</v>
      </c>
      <c r="I113" s="101">
        <f>ROUND(G113*E113,2)</f>
        <v>21546</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1053675.06</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1008044.17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1008044.17</v>
      </c>
      <c r="I135" s="94">
        <f>ROUND(IF(E30=0,0,IF(E30&gt;250,-(((250/E30)*H135)*IF(G135="H",0.02,0.05)),IF(G135="H",-0.02*H135,-0.05*H135))),2)</f>
        <v>-50402.21</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1003272.8500000001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-405025.31999999995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598247.53000000014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85463.93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tabColor rgb="FFFFCCCC"/>
  </sheetPr>
  <dimension ref="A1:V221"/>
  <sheetViews>
    <sheetView topLeftCell="A28" workbookViewId="0">
      <selection activeCell="D60" sqref="D60"/>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272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108.43</v>
      </c>
      <c r="D16" s="143">
        <v>0</v>
      </c>
      <c r="E16" s="116">
        <f t="shared" si="1"/>
        <v>216.86</v>
      </c>
      <c r="F16" s="788">
        <f>'1461'!F16:G16</f>
        <v>1</v>
      </c>
      <c r="G16" s="788"/>
      <c r="H16" s="80">
        <f t="shared" si="2"/>
        <v>216.86</v>
      </c>
      <c r="I16" s="101">
        <f t="shared" si="3"/>
        <v>1203244.24</v>
      </c>
      <c r="N16" s="747" t="s">
        <v>22</v>
      </c>
      <c r="O16" s="747"/>
      <c r="P16" s="789">
        <f t="shared" si="0"/>
        <v>0</v>
      </c>
      <c r="Q16" s="789"/>
      <c r="R16" s="793">
        <v>1</v>
      </c>
      <c r="S16" s="793"/>
      <c r="T16" s="95">
        <f t="shared" si="4"/>
        <v>0</v>
      </c>
      <c r="U16" s="492">
        <f t="shared" si="5"/>
        <v>0</v>
      </c>
    </row>
    <row r="17" spans="1:21" x14ac:dyDescent="0.25">
      <c r="A17" s="705" t="s">
        <v>23</v>
      </c>
      <c r="B17" s="705"/>
      <c r="C17" s="143">
        <v>17.010000000000002</v>
      </c>
      <c r="D17" s="143">
        <v>0</v>
      </c>
      <c r="E17" s="116">
        <f t="shared" si="1"/>
        <v>34.020000000000003</v>
      </c>
      <c r="F17" s="788">
        <f>'1461'!F17:G17</f>
        <v>1</v>
      </c>
      <c r="G17" s="788"/>
      <c r="H17" s="80">
        <f t="shared" si="2"/>
        <v>34.020000000000003</v>
      </c>
      <c r="I17" s="101">
        <f t="shared" si="3"/>
        <v>188759.43</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13.57</v>
      </c>
      <c r="D27" s="143">
        <v>0</v>
      </c>
      <c r="E27" s="116">
        <f t="shared" si="1"/>
        <v>27.14</v>
      </c>
      <c r="F27" s="788">
        <f>'1461'!F27:G27</f>
        <v>1.1919999999999999</v>
      </c>
      <c r="G27" s="788"/>
      <c r="H27" s="80">
        <f t="shared" si="2"/>
        <v>32.350900000000003</v>
      </c>
      <c r="I27" s="101">
        <f t="shared" si="3"/>
        <v>179498.45</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139.01000000000002</v>
      </c>
      <c r="D30" s="94">
        <f>SUM(D14:D29)</f>
        <v>0</v>
      </c>
      <c r="E30" s="94">
        <f>SUM(E14:E29)</f>
        <v>278.02000000000004</v>
      </c>
      <c r="F30" s="724"/>
      <c r="G30" s="724"/>
      <c r="H30" s="99">
        <f>SUM(H14:H29)</f>
        <v>283.23090000000002</v>
      </c>
      <c r="I30" s="94">
        <f>SUM(I14:I29)</f>
        <v>1571502.1199999999</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1914794.03</v>
      </c>
      <c r="G51" s="109" t="s">
        <v>6</v>
      </c>
      <c r="H51" s="420">
        <v>5.5899999999999998E-2</v>
      </c>
      <c r="I51" s="101">
        <f>ROUND(F51*H51,2)</f>
        <v>107036.99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1914794.03</v>
      </c>
      <c r="G52" s="109" t="s">
        <v>6</v>
      </c>
      <c r="H52" s="420">
        <v>1.0699999999999999E-2</v>
      </c>
      <c r="I52" s="101">
        <f>ROUND(F52*H52,2)</f>
        <v>20488.3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127525.29000000001</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16.46</v>
      </c>
      <c r="D60" s="143">
        <v>0</v>
      </c>
      <c r="E60" s="116">
        <f t="shared" si="10"/>
        <v>32.92</v>
      </c>
      <c r="F60" s="463" t="s">
        <v>13</v>
      </c>
      <c r="G60" s="462">
        <v>251</v>
      </c>
      <c r="H60" s="476">
        <f>'1461'!H60</f>
        <v>1173</v>
      </c>
      <c r="I60" s="101">
        <f t="shared" si="11"/>
        <v>38615.160000000003</v>
      </c>
      <c r="N60" s="779"/>
      <c r="O60" s="779"/>
      <c r="P60" s="773"/>
      <c r="Q60" s="773"/>
      <c r="R60" s="40" t="s">
        <v>13</v>
      </c>
      <c r="S60" s="468">
        <v>251</v>
      </c>
      <c r="T60" s="479">
        <f t="shared" si="12"/>
        <v>1173</v>
      </c>
      <c r="U60" s="493">
        <f t="shared" si="13"/>
        <v>0</v>
      </c>
      <c r="V60" s="443"/>
    </row>
    <row r="61" spans="1:22" x14ac:dyDescent="0.25">
      <c r="A61" s="721"/>
      <c r="B61" s="721"/>
      <c r="C61" s="143">
        <v>0.55000000000000004</v>
      </c>
      <c r="D61" s="143">
        <v>0</v>
      </c>
      <c r="E61" s="116">
        <f t="shared" si="10"/>
        <v>1.1000000000000001</v>
      </c>
      <c r="F61" s="463" t="s">
        <v>13</v>
      </c>
      <c r="G61" s="462">
        <v>252</v>
      </c>
      <c r="H61" s="476">
        <f>'1461'!H61</f>
        <v>3506</v>
      </c>
      <c r="I61" s="101">
        <f t="shared" si="11"/>
        <v>3856.6</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17.010000000000002</v>
      </c>
      <c r="D66" s="97">
        <f>SUM(D57:D65)</f>
        <v>0</v>
      </c>
      <c r="E66" s="97">
        <f>SUM(E57:E65)</f>
        <v>34.020000000000003</v>
      </c>
      <c r="F66" s="708" t="s">
        <v>464</v>
      </c>
      <c r="G66" s="708"/>
      <c r="H66" s="708"/>
      <c r="I66" s="97">
        <f>SUM(I57:I65)</f>
        <v>42471.76</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278.02000000000004</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1.322E-3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283.23090000000002</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1.206E-3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278.02000000000004</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1.4809999999999999E-3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278.02000000000004</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1.325E-3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278.02000000000004</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1.4840000000000001E-3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1.325E-3</v>
      </c>
      <c r="I85" s="101">
        <f>ROUND(F85*H85,2)</f>
        <v>61166.91</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1.322E-3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1.4840000000000001E-3</v>
      </c>
      <c r="I90" s="101">
        <f>ROUND(F90*H90,2)</f>
        <v>28258.37</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1.4809999999999999E-3</v>
      </c>
      <c r="I92" s="101">
        <f t="shared" ref="I92:I96" si="14">ROUND(F92*H92,2)</f>
        <v>16944.34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1.206E-3</v>
      </c>
      <c r="I94" s="101">
        <f t="shared" si="14"/>
        <v>308442.71999999997</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1.206E-3</v>
      </c>
      <c r="I96" s="101">
        <f t="shared" si="14"/>
        <v>-1912.18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1.322E-3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283.23090000000002</v>
      </c>
      <c r="D105" s="703"/>
      <c r="E105" s="46">
        <f>H8</f>
        <v>1.0407999999999999</v>
      </c>
      <c r="F105" s="302">
        <f>'1461'!F105</f>
        <v>907.92</v>
      </c>
      <c r="G105" s="39" t="s">
        <v>12</v>
      </c>
      <c r="H105" s="101">
        <f>ROUND(C105*E105*F105,2)</f>
        <v>267642.76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283.23090000000002</v>
      </c>
      <c r="D107" s="716"/>
      <c r="E107" s="123"/>
      <c r="F107" s="123"/>
      <c r="G107" s="123"/>
      <c r="H107" s="124" t="s">
        <v>100</v>
      </c>
      <c r="I107" s="101">
        <f>IF(A1=75,0,H106+H105+H104)</f>
        <v>267642.76</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v>
      </c>
      <c r="D113" s="143">
        <v>0</v>
      </c>
      <c r="E113" s="144">
        <f>(C113+D113)/2</f>
        <v>0.5</v>
      </c>
      <c r="F113" s="126" t="s">
        <v>30</v>
      </c>
      <c r="G113" s="303">
        <f>'1461'!G113</f>
        <v>567</v>
      </c>
      <c r="I113" s="101">
        <f>ROUND(G113*E113,2)</f>
        <v>283.5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2294800.2999999998</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2167275.0099999998</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549"/>
      <c r="O131" s="549"/>
      <c r="P131" s="549"/>
      <c r="Q131" s="549"/>
      <c r="R131" s="549"/>
      <c r="S131" s="549"/>
      <c r="T131" s="549"/>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2167275.0099999998</v>
      </c>
      <c r="I135" s="94">
        <f>ROUND(IF(E30=0,0,IF(E30&gt;250,-(((250/E30)*H135)*IF(G135="H",0.02,0.05)),IF(G135="H",-0.02*H135,-0.05*H135))),2)</f>
        <v>-97442.41</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2197357.8899999997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-1125728.2300000002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1071629.6599999995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153089.95000000001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10921.34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tabColor rgb="FFFFCCCC"/>
  </sheetPr>
  <dimension ref="A1:V221"/>
  <sheetViews>
    <sheetView topLeftCell="A25" workbookViewId="0">
      <selection activeCell="C26" sqref="C26:C27"/>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271</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81.99</v>
      </c>
      <c r="D14" s="141">
        <v>0</v>
      </c>
      <c r="E14" s="187">
        <f>IF(D$30=0,C14*2,C14+D14)</f>
        <v>163.98</v>
      </c>
      <c r="F14" s="797">
        <f>'1461'!F14:G14</f>
        <v>1.1180000000000001</v>
      </c>
      <c r="G14" s="797"/>
      <c r="H14" s="145">
        <f>ROUND(E14*F14,4)</f>
        <v>183.3296</v>
      </c>
      <c r="I14" s="111">
        <f>ROUND(ROUND(ROUND(H14*$C$8,4)*($H$8),2)*(MAX($H$9,1)),2)</f>
        <v>1017201.35</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11</v>
      </c>
      <c r="D15" s="143">
        <v>0</v>
      </c>
      <c r="E15" s="116">
        <f t="shared" ref="E15:E29" si="1">IF(D$30=0,C15*2,C15+D15)</f>
        <v>22</v>
      </c>
      <c r="F15" s="788">
        <f>'1461'!F15:G15</f>
        <v>1.1180000000000001</v>
      </c>
      <c r="G15" s="788"/>
      <c r="H15" s="80">
        <f t="shared" ref="H15:H29" si="2">ROUND(E15*F15,4)</f>
        <v>24.596</v>
      </c>
      <c r="I15" s="101">
        <f t="shared" ref="I15:I29" si="3">ROUND(ROUND(ROUND(H15*$C$8,4)*($H$8),2)*(MAX($H$9,1)),2)</f>
        <v>136470.51</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48.71</v>
      </c>
      <c r="D16" s="143">
        <v>0</v>
      </c>
      <c r="E16" s="116">
        <f t="shared" si="1"/>
        <v>97.42</v>
      </c>
      <c r="F16" s="788">
        <f>'1461'!F16:G16</f>
        <v>1</v>
      </c>
      <c r="G16" s="788"/>
      <c r="H16" s="80">
        <f t="shared" si="2"/>
        <v>97.42</v>
      </c>
      <c r="I16" s="101">
        <f t="shared" si="3"/>
        <v>540533.31000000006</v>
      </c>
      <c r="N16" s="747" t="s">
        <v>22</v>
      </c>
      <c r="O16" s="747"/>
      <c r="P16" s="789">
        <f t="shared" si="0"/>
        <v>0</v>
      </c>
      <c r="Q16" s="789"/>
      <c r="R16" s="793">
        <v>1</v>
      </c>
      <c r="S16" s="793"/>
      <c r="T16" s="95">
        <f t="shared" si="4"/>
        <v>0</v>
      </c>
      <c r="U16" s="492">
        <f t="shared" si="5"/>
        <v>0</v>
      </c>
    </row>
    <row r="17" spans="1:21" x14ac:dyDescent="0.25">
      <c r="A17" s="705" t="s">
        <v>23</v>
      </c>
      <c r="B17" s="705"/>
      <c r="C17" s="143">
        <v>5</v>
      </c>
      <c r="D17" s="143">
        <v>0</v>
      </c>
      <c r="E17" s="116">
        <f t="shared" si="1"/>
        <v>10</v>
      </c>
      <c r="F17" s="788">
        <f>'1461'!F17:G17</f>
        <v>1</v>
      </c>
      <c r="G17" s="788"/>
      <c r="H17" s="80">
        <f t="shared" si="2"/>
        <v>10</v>
      </c>
      <c r="I17" s="101">
        <f t="shared" si="3"/>
        <v>55484.84</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43.75</v>
      </c>
      <c r="D26" s="143">
        <v>0</v>
      </c>
      <c r="E26" s="116">
        <f t="shared" si="1"/>
        <v>87.5</v>
      </c>
      <c r="F26" s="788">
        <f>'1461'!F26:G26</f>
        <v>1.1919999999999999</v>
      </c>
      <c r="G26" s="788"/>
      <c r="H26" s="80">
        <f t="shared" si="2"/>
        <v>104.3</v>
      </c>
      <c r="I26" s="101">
        <f t="shared" si="3"/>
        <v>578706.88</v>
      </c>
      <c r="N26" s="747" t="s">
        <v>85</v>
      </c>
      <c r="O26" s="747"/>
      <c r="P26" s="789">
        <f t="shared" si="0"/>
        <v>0</v>
      </c>
      <c r="Q26" s="789"/>
      <c r="R26" s="793">
        <v>1</v>
      </c>
      <c r="S26" s="793"/>
      <c r="T26" s="95">
        <f t="shared" si="4"/>
        <v>0</v>
      </c>
      <c r="U26" s="492">
        <f t="shared" si="5"/>
        <v>0</v>
      </c>
    </row>
    <row r="27" spans="1:21" x14ac:dyDescent="0.25">
      <c r="A27" s="705" t="s">
        <v>86</v>
      </c>
      <c r="B27" s="705"/>
      <c r="C27" s="143">
        <v>9.02</v>
      </c>
      <c r="D27" s="143">
        <v>0</v>
      </c>
      <c r="E27" s="116">
        <f t="shared" si="1"/>
        <v>18.04</v>
      </c>
      <c r="F27" s="788">
        <f>'1461'!F27:G27</f>
        <v>1.1919999999999999</v>
      </c>
      <c r="G27" s="788"/>
      <c r="H27" s="80">
        <f t="shared" si="2"/>
        <v>21.503699999999998</v>
      </c>
      <c r="I27" s="101">
        <f t="shared" si="3"/>
        <v>119312.94</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199.47</v>
      </c>
      <c r="D30" s="94">
        <f>SUM(D14:D29)</f>
        <v>0</v>
      </c>
      <c r="E30" s="94">
        <f>SUM(E14:E29)</f>
        <v>398.94</v>
      </c>
      <c r="F30" s="724"/>
      <c r="G30" s="724"/>
      <c r="H30" s="99">
        <f>SUM(H14:H29)</f>
        <v>441.14929999999998</v>
      </c>
      <c r="I30" s="94">
        <f>SUM(I14:I29)</f>
        <v>2447709.83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2559801.4</v>
      </c>
      <c r="G51" s="109" t="s">
        <v>6</v>
      </c>
      <c r="H51" s="420">
        <v>5.5899999999999998E-2</v>
      </c>
      <c r="I51" s="101">
        <f>ROUND(F51*H51,2)</f>
        <v>143092.9</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2559801.4</v>
      </c>
      <c r="G52" s="109" t="s">
        <v>6</v>
      </c>
      <c r="H52" s="420">
        <v>1.0699999999999999E-2</v>
      </c>
      <c r="I52" s="101">
        <f>ROUND(F52*H52,2)</f>
        <v>27389.87</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170482.77</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9.52</v>
      </c>
      <c r="D57" s="143">
        <v>0</v>
      </c>
      <c r="E57" s="116">
        <f t="shared" ref="E57:E65" si="10">IF(D$66=0,C57*2,C57+D57)</f>
        <v>19.04</v>
      </c>
      <c r="F57" s="462" t="s">
        <v>455</v>
      </c>
      <c r="G57" s="462">
        <v>251</v>
      </c>
      <c r="H57" s="476">
        <f>'1461'!H57</f>
        <v>1047</v>
      </c>
      <c r="I57" s="101">
        <f>ROUND(E57*H57,2)</f>
        <v>19934.88</v>
      </c>
      <c r="N57" s="778" t="s">
        <v>463</v>
      </c>
      <c r="O57" s="778"/>
      <c r="P57" s="780"/>
      <c r="Q57" s="780"/>
      <c r="R57" s="468" t="s">
        <v>455</v>
      </c>
      <c r="S57" s="468">
        <v>251</v>
      </c>
      <c r="T57" s="479">
        <f>H57</f>
        <v>1047</v>
      </c>
      <c r="U57" s="493">
        <f>ROUND(P57*T57,2)</f>
        <v>0</v>
      </c>
      <c r="V57" s="443"/>
    </row>
    <row r="58" spans="1:22" x14ac:dyDescent="0.25">
      <c r="A58" s="721"/>
      <c r="B58" s="721"/>
      <c r="C58" s="143">
        <v>1.48</v>
      </c>
      <c r="D58" s="143">
        <v>0</v>
      </c>
      <c r="E58" s="116">
        <f t="shared" si="10"/>
        <v>2.96</v>
      </c>
      <c r="F58" s="462" t="s">
        <v>455</v>
      </c>
      <c r="G58" s="462">
        <v>252</v>
      </c>
      <c r="H58" s="476">
        <f>'1461'!H58</f>
        <v>3380</v>
      </c>
      <c r="I58" s="101">
        <f t="shared" ref="I58:I65" si="11">ROUND(E58*H58,2)</f>
        <v>10004.799999999999</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4.66</v>
      </c>
      <c r="D60" s="143">
        <v>0</v>
      </c>
      <c r="E60" s="116">
        <f t="shared" si="10"/>
        <v>9.32</v>
      </c>
      <c r="F60" s="463" t="s">
        <v>13</v>
      </c>
      <c r="G60" s="462">
        <v>251</v>
      </c>
      <c r="H60" s="476">
        <f>'1461'!H60</f>
        <v>1173</v>
      </c>
      <c r="I60" s="101">
        <f t="shared" si="11"/>
        <v>10932.36</v>
      </c>
      <c r="N60" s="779"/>
      <c r="O60" s="779"/>
      <c r="P60" s="773"/>
      <c r="Q60" s="773"/>
      <c r="R60" s="40" t="s">
        <v>13</v>
      </c>
      <c r="S60" s="468">
        <v>251</v>
      </c>
      <c r="T60" s="479">
        <f t="shared" si="12"/>
        <v>1173</v>
      </c>
      <c r="U60" s="493">
        <f t="shared" si="13"/>
        <v>0</v>
      </c>
      <c r="V60" s="443"/>
    </row>
    <row r="61" spans="1:22" x14ac:dyDescent="0.25">
      <c r="A61" s="721"/>
      <c r="B61" s="721"/>
      <c r="C61" s="143">
        <v>0.34</v>
      </c>
      <c r="D61" s="143">
        <v>0</v>
      </c>
      <c r="E61" s="116">
        <f t="shared" si="10"/>
        <v>0.68</v>
      </c>
      <c r="F61" s="463" t="s">
        <v>13</v>
      </c>
      <c r="G61" s="462">
        <v>252</v>
      </c>
      <c r="H61" s="476">
        <f>'1461'!H61</f>
        <v>3506</v>
      </c>
      <c r="I61" s="101">
        <f t="shared" si="11"/>
        <v>2384.08</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16</v>
      </c>
      <c r="D66" s="97">
        <f>SUM(D57:D65)</f>
        <v>0</v>
      </c>
      <c r="E66" s="97">
        <f>SUM(E57:E65)</f>
        <v>32</v>
      </c>
      <c r="F66" s="708" t="s">
        <v>464</v>
      </c>
      <c r="G66" s="708"/>
      <c r="H66" s="708"/>
      <c r="I66" s="97">
        <f>SUM(I57:I65)</f>
        <v>43256.12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398.94</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1.8979999999999999E-3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441.14929999999998</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1.8779999999999999E-3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398.94</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2.1259999999999999E-3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398.94</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1.9009999999999999E-3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398.94</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2.1299999999999999E-3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1.9009999999999999E-3</v>
      </c>
      <c r="I85" s="101">
        <f>ROUND(F85*H85,2)</f>
        <v>87757.2</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1.8979999999999999E-3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2.1299999999999999E-3</v>
      </c>
      <c r="I90" s="101">
        <f>ROUND(F90*H90,2)</f>
        <v>40559.519999999997</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2.1259999999999999E-3</v>
      </c>
      <c r="I92" s="101">
        <f t="shared" ref="I92:I96" si="14">ROUND(F92*H92,2)</f>
        <v>24323.89</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1.8779999999999999E-3</v>
      </c>
      <c r="I94" s="101">
        <f t="shared" si="14"/>
        <v>480311.3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1.8779999999999999E-3</v>
      </c>
      <c r="I96" s="101">
        <f t="shared" si="14"/>
        <v>-2977.68</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1.8979999999999999E-3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312.22559999999999</v>
      </c>
      <c r="D104" s="703"/>
      <c r="E104" s="46">
        <f>H8</f>
        <v>1.0407999999999999</v>
      </c>
      <c r="F104" s="302">
        <f>'1461'!F104</f>
        <v>950.92</v>
      </c>
      <c r="G104" s="39" t="s">
        <v>12</v>
      </c>
      <c r="H104" s="101">
        <f>ROUND(C104*E104*F104,2)</f>
        <v>309015.15000000002</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128.9237</v>
      </c>
      <c r="D105" s="703"/>
      <c r="E105" s="46">
        <f>H8</f>
        <v>1.0407999999999999</v>
      </c>
      <c r="F105" s="302">
        <f>'1461'!F105</f>
        <v>907.92</v>
      </c>
      <c r="G105" s="39" t="s">
        <v>12</v>
      </c>
      <c r="H105" s="101">
        <f>ROUND(C105*E105*F105,2)</f>
        <v>121828.14</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441.14929999999998</v>
      </c>
      <c r="D107" s="716"/>
      <c r="E107" s="123"/>
      <c r="F107" s="123"/>
      <c r="G107" s="123"/>
      <c r="H107" s="124" t="s">
        <v>100</v>
      </c>
      <c r="I107" s="101">
        <f>IF(A1=75,0,H106+H105+H104)</f>
        <v>430843.29000000004</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44">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3552350.47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3381867.7</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3381867.7</v>
      </c>
      <c r="I135" s="94">
        <f>ROUND(IF(E30=0,0,IF(E30&gt;250,-(((250/E30)*H135)*IF(G135="H",0.02,0.05)),IF(G135="H",-0.02*H135,-0.05*H135))),2)</f>
        <v>-105964.17</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3446386.3000000003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-1502271.2799999998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1944115.0200000005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277730.71999999997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63129.22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B16" workbookViewId="0">
      <selection activeCell="D20" sqref="D20"/>
    </sheetView>
  </sheetViews>
  <sheetFormatPr defaultColWidth="9.140625" defaultRowHeight="15" x14ac:dyDescent="0.25"/>
  <cols>
    <col min="1" max="1" width="9.140625" style="524"/>
    <col min="2" max="2" width="9.140625" style="525"/>
    <col min="3" max="3" width="43.42578125" style="524" bestFit="1" customWidth="1"/>
    <col min="4" max="4" width="16.28515625" style="526" bestFit="1" customWidth="1"/>
    <col min="5" max="5" width="15.140625" style="526" bestFit="1" customWidth="1"/>
    <col min="6" max="7" width="15.140625" style="524" bestFit="1" customWidth="1"/>
    <col min="8" max="8" width="15" style="524" bestFit="1" customWidth="1"/>
    <col min="9" max="9" width="14.28515625" style="524" bestFit="1" customWidth="1"/>
    <col min="10" max="10" width="16.85546875" style="524" bestFit="1" customWidth="1"/>
    <col min="11" max="11" width="14.140625" style="537" customWidth="1"/>
    <col min="12" max="16" width="14" style="524" bestFit="1" customWidth="1"/>
    <col min="17" max="17" width="15.28515625" style="524" bestFit="1" customWidth="1"/>
    <col min="18" max="18" width="15" style="524" bestFit="1" customWidth="1"/>
    <col min="19" max="16384" width="9.140625" style="524"/>
  </cols>
  <sheetData>
    <row r="1" spans="1:18" x14ac:dyDescent="0.25">
      <c r="A1" s="542" t="s">
        <v>512</v>
      </c>
    </row>
    <row r="2" spans="1:18" x14ac:dyDescent="0.25">
      <c r="C2" s="557"/>
      <c r="D2" s="575"/>
      <c r="E2" s="575"/>
      <c r="F2" s="557"/>
      <c r="G2" s="557"/>
    </row>
    <row r="4" spans="1:18" s="532" customFormat="1" ht="45" x14ac:dyDescent="0.25">
      <c r="A4" s="532" t="s">
        <v>328</v>
      </c>
      <c r="B4" s="533" t="s">
        <v>328</v>
      </c>
      <c r="C4" s="532" t="s">
        <v>328</v>
      </c>
      <c r="D4" s="543" t="s">
        <v>294</v>
      </c>
      <c r="E4" s="543" t="s">
        <v>493</v>
      </c>
      <c r="F4" s="533" t="s">
        <v>494</v>
      </c>
      <c r="G4" s="533" t="s">
        <v>495</v>
      </c>
      <c r="H4" s="533" t="s">
        <v>496</v>
      </c>
      <c r="I4" s="533" t="s">
        <v>497</v>
      </c>
      <c r="J4" s="533" t="s">
        <v>498</v>
      </c>
      <c r="K4" s="544" t="s">
        <v>499</v>
      </c>
      <c r="L4" s="533" t="s">
        <v>500</v>
      </c>
      <c r="M4" s="533" t="s">
        <v>501</v>
      </c>
      <c r="N4" s="533" t="s">
        <v>502</v>
      </c>
      <c r="O4" s="533" t="s">
        <v>503</v>
      </c>
      <c r="P4" s="533" t="s">
        <v>504</v>
      </c>
      <c r="Q4" s="533" t="s">
        <v>8</v>
      </c>
      <c r="R4" s="534" t="s">
        <v>506</v>
      </c>
    </row>
    <row r="5" spans="1:18" s="532" customFormat="1" x14ac:dyDescent="0.25">
      <c r="A5" s="652">
        <v>1</v>
      </c>
      <c r="B5" s="653" t="s">
        <v>537</v>
      </c>
      <c r="C5" s="652" t="s">
        <v>540</v>
      </c>
      <c r="D5" s="674">
        <v>314049.06</v>
      </c>
      <c r="E5" s="543"/>
      <c r="F5" s="533"/>
      <c r="G5" s="533"/>
      <c r="H5" s="673">
        <v>22026.35</v>
      </c>
      <c r="I5" s="676">
        <v>22018.93</v>
      </c>
      <c r="J5" s="681">
        <v>38571.97</v>
      </c>
      <c r="K5" s="544"/>
      <c r="L5" s="533"/>
      <c r="M5" s="533"/>
      <c r="N5" s="533"/>
      <c r="O5" s="533"/>
      <c r="P5" s="533"/>
      <c r="Q5" s="527">
        <f>SUM(E5:P5)</f>
        <v>82617.25</v>
      </c>
      <c r="R5" s="538">
        <f>SUM(E5:I5)</f>
        <v>44045.279999999999</v>
      </c>
    </row>
    <row r="6" spans="1:18" s="532" customFormat="1" x14ac:dyDescent="0.25">
      <c r="A6" s="652">
        <v>2</v>
      </c>
      <c r="B6" s="653" t="s">
        <v>538</v>
      </c>
      <c r="C6" s="652" t="s">
        <v>541</v>
      </c>
      <c r="D6" s="674">
        <v>277906.74</v>
      </c>
      <c r="E6" s="543"/>
      <c r="F6" s="533"/>
      <c r="G6" s="533"/>
      <c r="H6" s="673">
        <v>26461.7</v>
      </c>
      <c r="I6" s="676">
        <v>26461.7</v>
      </c>
      <c r="J6" s="681">
        <v>32140.48</v>
      </c>
      <c r="K6" s="544"/>
      <c r="L6" s="533"/>
      <c r="M6" s="533"/>
      <c r="N6" s="533"/>
      <c r="O6" s="533"/>
      <c r="P6" s="533"/>
      <c r="Q6" s="527">
        <f>SUM(E6:P6)</f>
        <v>85063.88</v>
      </c>
      <c r="R6" s="538">
        <f t="shared" ref="R6:R53" si="0">SUM(E6:I6)</f>
        <v>52923.4</v>
      </c>
    </row>
    <row r="7" spans="1:18" x14ac:dyDescent="0.25">
      <c r="A7" s="652">
        <v>3</v>
      </c>
      <c r="B7" s="525" t="s">
        <v>158</v>
      </c>
      <c r="C7" s="524" t="s">
        <v>190</v>
      </c>
      <c r="D7" s="526">
        <v>5887099.1799999988</v>
      </c>
      <c r="E7" s="526">
        <v>543134.93000000005</v>
      </c>
      <c r="F7" s="558">
        <v>544837.4</v>
      </c>
      <c r="G7" s="558">
        <v>544837.4</v>
      </c>
      <c r="H7" s="672">
        <v>544837.4</v>
      </c>
      <c r="I7" s="558">
        <v>544837.4</v>
      </c>
      <c r="J7" s="680">
        <v>452087.81</v>
      </c>
      <c r="K7" s="559"/>
      <c r="L7" s="560"/>
      <c r="M7" s="560"/>
      <c r="N7" s="527"/>
      <c r="O7" s="556"/>
      <c r="P7" s="556"/>
      <c r="Q7" s="527">
        <f>SUM(E7:P7)</f>
        <v>3174572.34</v>
      </c>
      <c r="R7" s="538">
        <f t="shared" si="0"/>
        <v>2722484.53</v>
      </c>
    </row>
    <row r="8" spans="1:18" x14ac:dyDescent="0.25">
      <c r="A8" s="652">
        <v>4</v>
      </c>
      <c r="B8" s="525" t="s">
        <v>159</v>
      </c>
      <c r="C8" s="524" t="s">
        <v>192</v>
      </c>
      <c r="D8" s="526">
        <v>9499198.7699999996</v>
      </c>
      <c r="E8" s="558">
        <v>744106.29</v>
      </c>
      <c r="F8" s="558">
        <v>746335.74</v>
      </c>
      <c r="G8" s="558">
        <v>746356.02</v>
      </c>
      <c r="H8" s="672">
        <v>746356.02</v>
      </c>
      <c r="I8" s="558">
        <v>746356.02</v>
      </c>
      <c r="J8" s="680">
        <v>824241.24</v>
      </c>
      <c r="K8" s="559"/>
      <c r="L8" s="560"/>
      <c r="M8" s="560"/>
      <c r="N8" s="527"/>
      <c r="O8" s="556"/>
      <c r="P8" s="556"/>
      <c r="Q8" s="527">
        <f t="shared" ref="Q8:Q52" si="1">SUM(E8:P8)</f>
        <v>4553751.33</v>
      </c>
      <c r="R8" s="538">
        <f t="shared" si="0"/>
        <v>3729510.09</v>
      </c>
    </row>
    <row r="9" spans="1:18" x14ac:dyDescent="0.25">
      <c r="A9" s="652">
        <v>5</v>
      </c>
      <c r="B9" s="525" t="s">
        <v>160</v>
      </c>
      <c r="C9" s="524" t="s">
        <v>193</v>
      </c>
      <c r="D9" s="526">
        <v>1341370.26</v>
      </c>
      <c r="E9" s="558">
        <v>96199.14</v>
      </c>
      <c r="F9" s="558">
        <v>96422.86</v>
      </c>
      <c r="G9" s="558">
        <v>96437.43</v>
      </c>
      <c r="H9" s="672">
        <v>96437.43</v>
      </c>
      <c r="I9" s="558">
        <v>96437.440000000002</v>
      </c>
      <c r="J9" s="680">
        <v>122776.57</v>
      </c>
      <c r="K9" s="559"/>
      <c r="L9" s="560"/>
      <c r="M9" s="560"/>
      <c r="N9" s="527"/>
      <c r="O9" s="556"/>
      <c r="P9" s="556"/>
      <c r="Q9" s="527">
        <f t="shared" si="1"/>
        <v>604710.87</v>
      </c>
      <c r="R9" s="538">
        <f t="shared" si="0"/>
        <v>481934.3</v>
      </c>
    </row>
    <row r="10" spans="1:18" x14ac:dyDescent="0.25">
      <c r="A10" s="652">
        <v>6</v>
      </c>
      <c r="B10" s="572" t="s">
        <v>161</v>
      </c>
      <c r="C10" s="571" t="s">
        <v>551</v>
      </c>
      <c r="D10" s="573">
        <v>1487622.3499999994</v>
      </c>
      <c r="E10" s="574">
        <v>79086.62</v>
      </c>
      <c r="F10" s="574">
        <v>79408.67</v>
      </c>
      <c r="G10" s="577">
        <f>79413.53+33368.87</f>
        <v>112782.39999999999</v>
      </c>
      <c r="H10" s="672">
        <v>112782.39999999999</v>
      </c>
      <c r="I10" s="558">
        <v>112782.39999999999</v>
      </c>
      <c r="J10" s="680">
        <v>141539.98000000001</v>
      </c>
      <c r="K10" s="559"/>
      <c r="L10" s="560"/>
      <c r="M10" s="560"/>
      <c r="N10" s="527"/>
      <c r="O10" s="556"/>
      <c r="P10" s="556"/>
      <c r="Q10" s="527">
        <f t="shared" si="1"/>
        <v>638382.47</v>
      </c>
      <c r="R10" s="538">
        <f t="shared" si="0"/>
        <v>496842.49</v>
      </c>
    </row>
    <row r="11" spans="1:18" x14ac:dyDescent="0.25">
      <c r="A11" s="652">
        <v>7</v>
      </c>
      <c r="B11" s="525" t="s">
        <v>162</v>
      </c>
      <c r="C11" s="524" t="s">
        <v>295</v>
      </c>
      <c r="D11" s="526">
        <v>5325812.4499999993</v>
      </c>
      <c r="E11" s="558">
        <v>373318.84</v>
      </c>
      <c r="F11" s="558">
        <v>374880.45</v>
      </c>
      <c r="G11" s="558">
        <v>374908.37</v>
      </c>
      <c r="H11" s="672">
        <v>374908.37</v>
      </c>
      <c r="I11" s="558">
        <v>374908.37</v>
      </c>
      <c r="J11" s="680">
        <v>493269.72</v>
      </c>
      <c r="K11" s="559"/>
      <c r="L11" s="560"/>
      <c r="M11" s="560"/>
      <c r="N11" s="527"/>
      <c r="O11" s="556"/>
      <c r="P11" s="556"/>
      <c r="Q11" s="527">
        <f>SUM(E11:P11)</f>
        <v>2366194.12</v>
      </c>
      <c r="R11" s="538">
        <f t="shared" si="0"/>
        <v>1872924.4000000004</v>
      </c>
    </row>
    <row r="12" spans="1:18" x14ac:dyDescent="0.25">
      <c r="A12" s="652">
        <v>8</v>
      </c>
      <c r="B12" s="525" t="s">
        <v>163</v>
      </c>
      <c r="C12" s="524" t="s">
        <v>377</v>
      </c>
      <c r="D12" s="526">
        <v>5211983.4499999993</v>
      </c>
      <c r="E12" s="558">
        <v>438241.71</v>
      </c>
      <c r="F12" s="558">
        <v>439779.53</v>
      </c>
      <c r="G12" s="558">
        <v>439835.38</v>
      </c>
      <c r="H12" s="672">
        <v>439835.38</v>
      </c>
      <c r="I12" s="558">
        <v>439835.38</v>
      </c>
      <c r="J12" s="680">
        <v>430636.58</v>
      </c>
      <c r="K12" s="559"/>
      <c r="L12" s="560"/>
      <c r="M12" s="560"/>
      <c r="N12" s="527"/>
      <c r="O12" s="556"/>
      <c r="P12" s="556"/>
      <c r="Q12" s="527">
        <f t="shared" si="1"/>
        <v>2628163.96</v>
      </c>
      <c r="R12" s="538">
        <f t="shared" si="0"/>
        <v>2197527.38</v>
      </c>
    </row>
    <row r="13" spans="1:18" x14ac:dyDescent="0.25">
      <c r="A13" s="652">
        <v>9</v>
      </c>
      <c r="B13" s="525" t="s">
        <v>164</v>
      </c>
      <c r="C13" s="524" t="s">
        <v>196</v>
      </c>
      <c r="D13" s="526">
        <v>6098288.5999999996</v>
      </c>
      <c r="E13" s="558">
        <v>458554.15</v>
      </c>
      <c r="F13" s="558">
        <v>460340.26</v>
      </c>
      <c r="G13" s="558">
        <v>460361.47</v>
      </c>
      <c r="H13" s="672">
        <v>460361.47</v>
      </c>
      <c r="I13" s="558">
        <v>460361.47</v>
      </c>
      <c r="J13" s="680">
        <v>542615.68000000005</v>
      </c>
      <c r="K13" s="559"/>
      <c r="L13" s="560"/>
      <c r="M13" s="560"/>
      <c r="N13" s="527"/>
      <c r="O13" s="556"/>
      <c r="P13" s="556"/>
      <c r="Q13" s="527">
        <f t="shared" si="1"/>
        <v>2842594.5</v>
      </c>
      <c r="R13" s="538">
        <f t="shared" si="0"/>
        <v>2299978.8199999998</v>
      </c>
    </row>
    <row r="14" spans="1:18" x14ac:dyDescent="0.25">
      <c r="A14" s="652">
        <v>10</v>
      </c>
      <c r="B14" s="525" t="s">
        <v>165</v>
      </c>
      <c r="C14" s="524" t="s">
        <v>197</v>
      </c>
      <c r="D14" s="526">
        <v>10399738.75</v>
      </c>
      <c r="E14" s="558">
        <v>866760.71</v>
      </c>
      <c r="F14" s="558">
        <v>870181.98</v>
      </c>
      <c r="G14" s="558">
        <v>870232.61</v>
      </c>
      <c r="H14" s="672">
        <v>870232.61</v>
      </c>
      <c r="I14" s="558">
        <v>870232.61</v>
      </c>
      <c r="J14" s="680">
        <v>864585.46</v>
      </c>
      <c r="K14" s="559"/>
      <c r="L14" s="560"/>
      <c r="M14" s="560"/>
      <c r="N14" s="527"/>
      <c r="O14" s="556"/>
      <c r="P14" s="556"/>
      <c r="Q14" s="527">
        <f t="shared" si="1"/>
        <v>5212225.9799999995</v>
      </c>
      <c r="R14" s="538">
        <f t="shared" si="0"/>
        <v>4347640.5199999996</v>
      </c>
    </row>
    <row r="15" spans="1:18" x14ac:dyDescent="0.25">
      <c r="A15" s="652">
        <v>11</v>
      </c>
      <c r="B15" s="525" t="s">
        <v>166</v>
      </c>
      <c r="C15" s="524" t="s">
        <v>386</v>
      </c>
      <c r="D15" s="526">
        <v>5867331.5999999978</v>
      </c>
      <c r="E15" s="558">
        <v>418062.5</v>
      </c>
      <c r="F15" s="558">
        <v>419801.64</v>
      </c>
      <c r="G15" s="558">
        <v>419829.87</v>
      </c>
      <c r="H15" s="672">
        <v>419829.87</v>
      </c>
      <c r="I15" s="558">
        <v>419829.87</v>
      </c>
      <c r="J15" s="680">
        <v>538568.26</v>
      </c>
      <c r="K15" s="559"/>
      <c r="L15" s="560"/>
      <c r="M15" s="560"/>
      <c r="N15" s="527"/>
      <c r="O15" s="556"/>
      <c r="P15" s="556"/>
      <c r="Q15" s="527">
        <f t="shared" si="1"/>
        <v>2635922.0099999998</v>
      </c>
      <c r="R15" s="538">
        <f t="shared" si="0"/>
        <v>2097353.75</v>
      </c>
    </row>
    <row r="16" spans="1:18" x14ac:dyDescent="0.25">
      <c r="A16" s="652">
        <v>12</v>
      </c>
      <c r="B16" s="525" t="s">
        <v>167</v>
      </c>
      <c r="C16" s="524" t="s">
        <v>385</v>
      </c>
      <c r="D16" s="526">
        <v>1117875.2499999998</v>
      </c>
      <c r="E16" s="558">
        <v>85480.95</v>
      </c>
      <c r="F16" s="558">
        <v>85606.82</v>
      </c>
      <c r="G16" s="558">
        <v>85621.5</v>
      </c>
      <c r="H16" s="672">
        <v>85621.5</v>
      </c>
      <c r="I16" s="558">
        <v>85621.5</v>
      </c>
      <c r="J16" s="680">
        <v>98560.43</v>
      </c>
      <c r="K16" s="559"/>
      <c r="L16" s="560"/>
      <c r="M16" s="560"/>
      <c r="N16" s="527"/>
      <c r="O16" s="556"/>
      <c r="P16" s="556"/>
      <c r="Q16" s="527">
        <f t="shared" si="1"/>
        <v>526512.69999999995</v>
      </c>
      <c r="R16" s="538">
        <f t="shared" si="0"/>
        <v>427952.27</v>
      </c>
    </row>
    <row r="17" spans="1:18" x14ac:dyDescent="0.25">
      <c r="A17" s="652">
        <v>13</v>
      </c>
      <c r="B17" s="525" t="s">
        <v>168</v>
      </c>
      <c r="C17" s="524" t="s">
        <v>200</v>
      </c>
      <c r="D17" s="526">
        <v>9039581.0899999999</v>
      </c>
      <c r="E17" s="558">
        <v>752379.59</v>
      </c>
      <c r="F17" s="558">
        <v>755267.04</v>
      </c>
      <c r="G17" s="558">
        <v>755288.45</v>
      </c>
      <c r="H17" s="672">
        <v>755288.45</v>
      </c>
      <c r="I17" s="558">
        <v>755288.46</v>
      </c>
      <c r="J17" s="680">
        <v>752295.59</v>
      </c>
      <c r="K17" s="559"/>
      <c r="L17" s="560"/>
      <c r="M17" s="560"/>
      <c r="N17" s="527"/>
      <c r="O17" s="556"/>
      <c r="P17" s="556"/>
      <c r="Q17" s="527">
        <f t="shared" si="1"/>
        <v>4525807.58</v>
      </c>
      <c r="R17" s="538">
        <f t="shared" si="0"/>
        <v>3773511.99</v>
      </c>
    </row>
    <row r="18" spans="1:18" x14ac:dyDescent="0.25">
      <c r="A18" s="652">
        <v>14</v>
      </c>
      <c r="B18" s="525" t="s">
        <v>169</v>
      </c>
      <c r="C18" s="524" t="s">
        <v>202</v>
      </c>
      <c r="D18" s="526">
        <v>2375474.4</v>
      </c>
      <c r="E18" s="558">
        <v>183876.95</v>
      </c>
      <c r="F18" s="558">
        <v>184363.53</v>
      </c>
      <c r="G18" s="558">
        <v>184416.79</v>
      </c>
      <c r="H18" s="672">
        <v>184416.79</v>
      </c>
      <c r="I18" s="558">
        <v>184416.79</v>
      </c>
      <c r="J18" s="680">
        <v>207711.94</v>
      </c>
      <c r="K18" s="559"/>
      <c r="L18" s="560"/>
      <c r="M18" s="560"/>
      <c r="N18" s="527"/>
      <c r="O18" s="556"/>
      <c r="P18" s="556"/>
      <c r="Q18" s="527">
        <f t="shared" si="1"/>
        <v>1129202.79</v>
      </c>
      <c r="R18" s="538">
        <f t="shared" si="0"/>
        <v>921490.85000000009</v>
      </c>
    </row>
    <row r="19" spans="1:18" x14ac:dyDescent="0.25">
      <c r="A19" s="652">
        <v>15</v>
      </c>
      <c r="B19" s="572" t="s">
        <v>170</v>
      </c>
      <c r="C19" s="571" t="s">
        <v>204</v>
      </c>
      <c r="D19" s="573">
        <f>E19+F19</f>
        <v>66663.929999999993</v>
      </c>
      <c r="E19" s="574">
        <v>33300.01</v>
      </c>
      <c r="F19" s="574">
        <v>33363.919999999998</v>
      </c>
      <c r="G19" s="577">
        <v>0</v>
      </c>
      <c r="H19" s="672"/>
      <c r="I19" s="558">
        <v>0</v>
      </c>
      <c r="J19" s="680"/>
      <c r="K19" s="559"/>
      <c r="L19" s="560"/>
      <c r="M19" s="560"/>
      <c r="N19" s="527"/>
      <c r="O19" s="556"/>
      <c r="P19" s="556"/>
      <c r="Q19" s="527">
        <f>SUM(E19:P19)</f>
        <v>66663.929999999993</v>
      </c>
      <c r="R19" s="538">
        <f>SUM(E19:I19)</f>
        <v>66663.929999999993</v>
      </c>
    </row>
    <row r="20" spans="1:18" x14ac:dyDescent="0.25">
      <c r="A20" s="652">
        <v>16</v>
      </c>
      <c r="B20" s="525" t="s">
        <v>171</v>
      </c>
      <c r="C20" s="524" t="s">
        <v>205</v>
      </c>
      <c r="D20" s="526">
        <v>1659824.3200000003</v>
      </c>
      <c r="E20" s="558">
        <v>144251.51</v>
      </c>
      <c r="F20" s="558">
        <v>144800.1</v>
      </c>
      <c r="G20" s="558">
        <v>144845.64000000001</v>
      </c>
      <c r="H20" s="672">
        <v>144845.64000000001</v>
      </c>
      <c r="I20" s="558">
        <v>144845.64000000001</v>
      </c>
      <c r="J20" s="680">
        <v>133747.97</v>
      </c>
      <c r="K20" s="559"/>
      <c r="L20" s="560"/>
      <c r="M20" s="560"/>
      <c r="N20" s="527"/>
      <c r="O20" s="556"/>
      <c r="P20" s="556"/>
      <c r="Q20" s="527">
        <f t="shared" si="1"/>
        <v>857336.5</v>
      </c>
      <c r="R20" s="538">
        <f t="shared" si="0"/>
        <v>723588.53</v>
      </c>
    </row>
    <row r="21" spans="1:18" x14ac:dyDescent="0.25">
      <c r="A21" s="652">
        <v>17</v>
      </c>
      <c r="B21" s="525" t="s">
        <v>172</v>
      </c>
      <c r="C21" s="524" t="s">
        <v>296</v>
      </c>
      <c r="D21" s="526">
        <v>4388837.1999999993</v>
      </c>
      <c r="E21" s="558">
        <v>370530.88</v>
      </c>
      <c r="F21" s="558">
        <v>371985.33</v>
      </c>
      <c r="G21" s="558">
        <v>372039.83</v>
      </c>
      <c r="H21" s="672">
        <v>372039.83</v>
      </c>
      <c r="I21" s="558">
        <v>372039.83</v>
      </c>
      <c r="J21" s="680">
        <v>361457.36</v>
      </c>
      <c r="K21" s="559"/>
      <c r="L21" s="560"/>
      <c r="M21" s="560"/>
      <c r="N21" s="527"/>
      <c r="O21" s="556"/>
      <c r="P21" s="556"/>
      <c r="Q21" s="527">
        <f t="shared" si="1"/>
        <v>2220093.06</v>
      </c>
      <c r="R21" s="538">
        <f t="shared" si="0"/>
        <v>1858635.7000000002</v>
      </c>
    </row>
    <row r="22" spans="1:18" x14ac:dyDescent="0.25">
      <c r="A22" s="652">
        <v>18</v>
      </c>
      <c r="B22" s="525" t="s">
        <v>173</v>
      </c>
      <c r="C22" s="524" t="s">
        <v>227</v>
      </c>
      <c r="D22" s="526">
        <v>5855464.0300000003</v>
      </c>
      <c r="E22" s="558">
        <v>457612.31</v>
      </c>
      <c r="F22" s="558">
        <v>459102.47</v>
      </c>
      <c r="G22" s="558">
        <v>465112.24</v>
      </c>
      <c r="H22" s="672">
        <v>465112.24</v>
      </c>
      <c r="I22" s="558">
        <v>465112.24</v>
      </c>
      <c r="J22" s="680">
        <v>506201.79</v>
      </c>
      <c r="K22" s="559"/>
      <c r="L22" s="560"/>
      <c r="M22" s="560"/>
      <c r="N22" s="527"/>
      <c r="O22" s="556"/>
      <c r="P22" s="556"/>
      <c r="Q22" s="527">
        <f t="shared" si="1"/>
        <v>2818253.29</v>
      </c>
      <c r="R22" s="538">
        <f t="shared" si="0"/>
        <v>2312051.5</v>
      </c>
    </row>
    <row r="23" spans="1:18" x14ac:dyDescent="0.25">
      <c r="A23" s="652">
        <v>19</v>
      </c>
      <c r="B23" s="525" t="s">
        <v>174</v>
      </c>
      <c r="C23" s="524" t="s">
        <v>195</v>
      </c>
      <c r="D23" s="526">
        <v>918094.66000000015</v>
      </c>
      <c r="E23" s="558">
        <v>82429.48</v>
      </c>
      <c r="F23" s="558">
        <v>82658.69</v>
      </c>
      <c r="G23" s="558">
        <v>82683.14</v>
      </c>
      <c r="H23" s="672">
        <v>82683.14</v>
      </c>
      <c r="I23" s="558">
        <v>82683.14</v>
      </c>
      <c r="J23" s="680">
        <v>72136.72</v>
      </c>
      <c r="K23" s="559"/>
      <c r="L23" s="560"/>
      <c r="M23" s="560"/>
      <c r="N23" s="527"/>
      <c r="O23" s="556"/>
      <c r="P23" s="556"/>
      <c r="Q23" s="527">
        <f t="shared" si="1"/>
        <v>485274.31000000006</v>
      </c>
      <c r="R23" s="538">
        <f t="shared" si="0"/>
        <v>413137.59</v>
      </c>
    </row>
    <row r="24" spans="1:18" x14ac:dyDescent="0.25">
      <c r="A24" s="652">
        <v>20</v>
      </c>
      <c r="B24" s="525" t="s">
        <v>175</v>
      </c>
      <c r="C24" s="524" t="s">
        <v>189</v>
      </c>
      <c r="D24" s="526">
        <v>1134232.8799999999</v>
      </c>
      <c r="E24" s="558">
        <v>93468.86</v>
      </c>
      <c r="F24" s="558">
        <v>93648.320000000007</v>
      </c>
      <c r="G24" s="558">
        <v>93667.31</v>
      </c>
      <c r="H24" s="672">
        <v>93667.3</v>
      </c>
      <c r="I24" s="558">
        <v>93667.31</v>
      </c>
      <c r="J24" s="680">
        <v>95159.11</v>
      </c>
      <c r="K24" s="559"/>
      <c r="L24" s="560"/>
      <c r="M24" s="560"/>
      <c r="N24" s="527"/>
      <c r="O24" s="556"/>
      <c r="P24" s="556"/>
      <c r="Q24" s="527">
        <f t="shared" si="1"/>
        <v>563278.21</v>
      </c>
      <c r="R24" s="538">
        <f t="shared" si="0"/>
        <v>468119.1</v>
      </c>
    </row>
    <row r="25" spans="1:18" x14ac:dyDescent="0.25">
      <c r="A25" s="652">
        <v>21</v>
      </c>
      <c r="B25" s="525" t="s">
        <v>176</v>
      </c>
      <c r="C25" s="524" t="s">
        <v>206</v>
      </c>
      <c r="D25" s="526">
        <v>3506461.2</v>
      </c>
      <c r="E25" s="558">
        <v>261804.23</v>
      </c>
      <c r="F25" s="558">
        <v>262560.39</v>
      </c>
      <c r="G25" s="558">
        <v>262610.42</v>
      </c>
      <c r="H25" s="672">
        <v>262610.42</v>
      </c>
      <c r="I25" s="558">
        <v>262610.42</v>
      </c>
      <c r="J25" s="680">
        <v>313466.46999999997</v>
      </c>
      <c r="K25" s="559"/>
      <c r="L25" s="560"/>
      <c r="M25" s="560"/>
      <c r="N25" s="527"/>
      <c r="O25" s="556"/>
      <c r="P25" s="556"/>
      <c r="Q25" s="527">
        <f t="shared" si="1"/>
        <v>1625662.3499999999</v>
      </c>
      <c r="R25" s="538">
        <f t="shared" si="0"/>
        <v>1312195.8799999999</v>
      </c>
    </row>
    <row r="26" spans="1:18" x14ac:dyDescent="0.25">
      <c r="A26" s="652">
        <v>22</v>
      </c>
      <c r="B26" s="525" t="s">
        <v>177</v>
      </c>
      <c r="C26" s="524" t="s">
        <v>207</v>
      </c>
      <c r="D26" s="526">
        <v>3412318.9000000008</v>
      </c>
      <c r="E26" s="558">
        <v>271329</v>
      </c>
      <c r="F26" s="558">
        <v>272395.59000000003</v>
      </c>
      <c r="G26" s="558">
        <v>272417.49</v>
      </c>
      <c r="H26" s="672">
        <v>272417.49</v>
      </c>
      <c r="I26" s="558">
        <v>272417.49</v>
      </c>
      <c r="J26" s="680">
        <v>293048.83</v>
      </c>
      <c r="K26" s="559"/>
      <c r="L26" s="560"/>
      <c r="M26" s="560"/>
      <c r="N26" s="527"/>
      <c r="O26" s="556"/>
      <c r="P26" s="556"/>
      <c r="Q26" s="527">
        <f t="shared" si="1"/>
        <v>1654025.8900000001</v>
      </c>
      <c r="R26" s="538">
        <f t="shared" si="0"/>
        <v>1360977.06</v>
      </c>
    </row>
    <row r="27" spans="1:18" x14ac:dyDescent="0.25">
      <c r="A27" s="652">
        <v>23</v>
      </c>
      <c r="B27" s="525" t="s">
        <v>178</v>
      </c>
      <c r="C27" s="524" t="s">
        <v>208</v>
      </c>
      <c r="D27" s="526">
        <v>3809480.88</v>
      </c>
      <c r="E27" s="558">
        <v>269507.71999999997</v>
      </c>
      <c r="F27" s="558">
        <v>270454.28000000003</v>
      </c>
      <c r="G27" s="558">
        <v>270504.44</v>
      </c>
      <c r="H27" s="672">
        <v>270504.44</v>
      </c>
      <c r="I27" s="558">
        <v>270504.44</v>
      </c>
      <c r="J27" s="680">
        <v>351143.65</v>
      </c>
      <c r="K27" s="559"/>
      <c r="L27" s="560"/>
      <c r="M27" s="560"/>
      <c r="N27" s="527"/>
      <c r="O27" s="556"/>
      <c r="P27" s="556"/>
      <c r="Q27" s="527">
        <f t="shared" si="1"/>
        <v>1702618.9699999997</v>
      </c>
      <c r="R27" s="538">
        <f t="shared" si="0"/>
        <v>1351475.3199999998</v>
      </c>
    </row>
    <row r="28" spans="1:18" x14ac:dyDescent="0.25">
      <c r="A28" s="652">
        <v>24</v>
      </c>
      <c r="B28" s="525" t="s">
        <v>179</v>
      </c>
      <c r="C28" s="524" t="s">
        <v>210</v>
      </c>
      <c r="D28" s="526">
        <v>8743537.9299999997</v>
      </c>
      <c r="E28" s="558">
        <v>702850.13</v>
      </c>
      <c r="F28" s="558">
        <v>705612.5</v>
      </c>
      <c r="G28" s="558">
        <v>705634.01</v>
      </c>
      <c r="H28" s="672">
        <v>705634.01</v>
      </c>
      <c r="I28" s="558">
        <v>705634.01</v>
      </c>
      <c r="J28" s="680">
        <v>745453.32</v>
      </c>
      <c r="K28" s="559"/>
      <c r="L28" s="560"/>
      <c r="M28" s="560"/>
      <c r="N28" s="527"/>
      <c r="O28" s="556"/>
      <c r="P28" s="556"/>
      <c r="Q28" s="527">
        <f t="shared" si="1"/>
        <v>4270817.9799999995</v>
      </c>
      <c r="R28" s="538">
        <f t="shared" si="0"/>
        <v>3525364.6599999992</v>
      </c>
    </row>
    <row r="29" spans="1:18" x14ac:dyDescent="0.25">
      <c r="A29" s="652">
        <v>25</v>
      </c>
      <c r="B29" s="525">
        <v>3441</v>
      </c>
      <c r="C29" s="524" t="s">
        <v>228</v>
      </c>
      <c r="D29" s="526">
        <v>4385975.13</v>
      </c>
      <c r="E29" s="558">
        <v>362240.2</v>
      </c>
      <c r="F29" s="558">
        <v>363336.93</v>
      </c>
      <c r="G29" s="558">
        <v>363387.69</v>
      </c>
      <c r="H29" s="672">
        <v>363387.68</v>
      </c>
      <c r="I29" s="558">
        <v>363387.69</v>
      </c>
      <c r="J29" s="680">
        <v>367176.42</v>
      </c>
      <c r="K29" s="559"/>
      <c r="L29" s="560"/>
      <c r="M29" s="560"/>
      <c r="N29" s="527"/>
      <c r="O29" s="556"/>
      <c r="P29" s="556"/>
      <c r="Q29" s="527">
        <f t="shared" si="1"/>
        <v>2182916.61</v>
      </c>
      <c r="R29" s="538">
        <f t="shared" si="0"/>
        <v>1815740.19</v>
      </c>
    </row>
    <row r="30" spans="1:18" x14ac:dyDescent="0.25">
      <c r="A30" s="652">
        <v>26</v>
      </c>
      <c r="B30" s="525">
        <v>3924</v>
      </c>
      <c r="C30" s="524" t="s">
        <v>376</v>
      </c>
      <c r="D30" s="526">
        <v>3655412.4199999995</v>
      </c>
      <c r="E30" s="558">
        <v>321097.51</v>
      </c>
      <c r="F30" s="558">
        <v>322121.01</v>
      </c>
      <c r="G30" s="558">
        <v>322172.34999999998</v>
      </c>
      <c r="H30" s="672">
        <v>322172.34999999998</v>
      </c>
      <c r="I30" s="558">
        <v>322172.36</v>
      </c>
      <c r="J30" s="680">
        <v>292239.55</v>
      </c>
      <c r="K30" s="559"/>
      <c r="L30" s="560"/>
      <c r="M30" s="560"/>
      <c r="N30" s="527"/>
      <c r="O30" s="556"/>
      <c r="P30" s="556"/>
      <c r="Q30" s="527">
        <f t="shared" si="1"/>
        <v>1901975.1300000001</v>
      </c>
      <c r="R30" s="538">
        <f t="shared" si="0"/>
        <v>1609735.58</v>
      </c>
    </row>
    <row r="31" spans="1:18" x14ac:dyDescent="0.25">
      <c r="A31" s="652">
        <v>27</v>
      </c>
      <c r="B31" s="525" t="s">
        <v>180</v>
      </c>
      <c r="C31" s="524" t="s">
        <v>191</v>
      </c>
      <c r="D31" s="526">
        <v>2006578.5200000003</v>
      </c>
      <c r="E31" s="558">
        <v>183588.24</v>
      </c>
      <c r="F31" s="558">
        <v>184304.2</v>
      </c>
      <c r="G31" s="558">
        <v>184326.33</v>
      </c>
      <c r="H31" s="672">
        <v>184326.33</v>
      </c>
      <c r="I31" s="558">
        <v>184326.33</v>
      </c>
      <c r="J31" s="680">
        <v>155101.01</v>
      </c>
      <c r="K31" s="559"/>
      <c r="L31" s="560"/>
      <c r="M31" s="560"/>
      <c r="N31" s="527"/>
      <c r="O31" s="556"/>
      <c r="P31" s="556"/>
      <c r="Q31" s="527">
        <f t="shared" si="1"/>
        <v>1075972.44</v>
      </c>
      <c r="R31" s="538">
        <f t="shared" si="0"/>
        <v>920871.42999999993</v>
      </c>
    </row>
    <row r="32" spans="1:18" x14ac:dyDescent="0.25">
      <c r="A32" s="652">
        <v>28</v>
      </c>
      <c r="B32" s="525" t="s">
        <v>181</v>
      </c>
      <c r="C32" s="524" t="s">
        <v>201</v>
      </c>
      <c r="D32" s="526">
        <v>2470706.8900000006</v>
      </c>
      <c r="E32" s="558">
        <v>227226.19</v>
      </c>
      <c r="F32" s="558">
        <v>228128.07</v>
      </c>
      <c r="G32" s="558">
        <v>222052.75</v>
      </c>
      <c r="H32" s="672">
        <v>222052.75</v>
      </c>
      <c r="I32" s="558">
        <v>222052.75</v>
      </c>
      <c r="J32" s="680">
        <v>192742.05</v>
      </c>
      <c r="K32" s="559"/>
      <c r="L32" s="560"/>
      <c r="M32" s="560"/>
      <c r="N32" s="527"/>
      <c r="O32" s="556"/>
      <c r="P32" s="556"/>
      <c r="Q32" s="527">
        <f t="shared" si="1"/>
        <v>1314254.56</v>
      </c>
      <c r="R32" s="538">
        <f t="shared" si="0"/>
        <v>1121512.51</v>
      </c>
    </row>
    <row r="33" spans="1:18" x14ac:dyDescent="0.25">
      <c r="A33" s="652">
        <v>29</v>
      </c>
      <c r="B33" s="525" t="s">
        <v>182</v>
      </c>
      <c r="C33" s="524" t="s">
        <v>341</v>
      </c>
      <c r="D33" s="526">
        <v>5258737.6999999993</v>
      </c>
      <c r="E33" s="558">
        <v>458603.06</v>
      </c>
      <c r="F33" s="558">
        <v>459980.77</v>
      </c>
      <c r="G33" s="558">
        <v>460031.21</v>
      </c>
      <c r="H33" s="672">
        <v>460031.21</v>
      </c>
      <c r="I33" s="558">
        <v>460031.21</v>
      </c>
      <c r="J33" s="680">
        <v>422865.75</v>
      </c>
      <c r="K33" s="559"/>
      <c r="L33" s="560"/>
      <c r="M33" s="560"/>
      <c r="N33" s="527"/>
      <c r="O33" s="556"/>
      <c r="P33" s="556"/>
      <c r="Q33" s="527">
        <f t="shared" si="1"/>
        <v>2721543.21</v>
      </c>
      <c r="R33" s="538">
        <f t="shared" si="0"/>
        <v>2298677.46</v>
      </c>
    </row>
    <row r="34" spans="1:18" x14ac:dyDescent="0.25">
      <c r="A34" s="652">
        <v>30</v>
      </c>
      <c r="B34" s="525" t="s">
        <v>183</v>
      </c>
      <c r="C34" s="524" t="s">
        <v>219</v>
      </c>
      <c r="D34" s="526">
        <v>5853087.9099999992</v>
      </c>
      <c r="E34" s="558">
        <v>501572.04</v>
      </c>
      <c r="F34" s="558">
        <v>503475.79</v>
      </c>
      <c r="G34" s="558">
        <v>503529.61</v>
      </c>
      <c r="H34" s="672">
        <v>503529.6</v>
      </c>
      <c r="I34" s="558">
        <v>503529.61</v>
      </c>
      <c r="J34" s="680">
        <v>476778.75</v>
      </c>
      <c r="K34" s="559"/>
      <c r="L34" s="560"/>
      <c r="M34" s="560"/>
      <c r="N34" s="527"/>
      <c r="O34" s="556"/>
      <c r="P34" s="556"/>
      <c r="Q34" s="527">
        <f t="shared" si="1"/>
        <v>2992415.4</v>
      </c>
      <c r="R34" s="538">
        <f t="shared" si="0"/>
        <v>2515636.65</v>
      </c>
    </row>
    <row r="35" spans="1:18" x14ac:dyDescent="0.25">
      <c r="A35" s="652">
        <v>31</v>
      </c>
      <c r="B35" s="525">
        <v>4002</v>
      </c>
      <c r="C35" s="524" t="s">
        <v>218</v>
      </c>
      <c r="D35" s="526">
        <v>8538385.9299999997</v>
      </c>
      <c r="E35" s="558">
        <v>777532.13</v>
      </c>
      <c r="F35" s="558">
        <v>780625.73</v>
      </c>
      <c r="G35" s="558">
        <v>780680.65</v>
      </c>
      <c r="H35" s="672">
        <v>780680.65</v>
      </c>
      <c r="I35" s="558">
        <v>780680.66</v>
      </c>
      <c r="J35" s="680">
        <v>662598.02</v>
      </c>
      <c r="K35" s="559"/>
      <c r="L35" s="560"/>
      <c r="M35" s="560"/>
      <c r="N35" s="527"/>
      <c r="O35" s="556"/>
      <c r="P35" s="556"/>
      <c r="Q35" s="527">
        <f t="shared" si="1"/>
        <v>4562797.84</v>
      </c>
      <c r="R35" s="538">
        <f t="shared" si="0"/>
        <v>3900199.82</v>
      </c>
    </row>
    <row r="36" spans="1:18" x14ac:dyDescent="0.25">
      <c r="A36" s="652">
        <v>32</v>
      </c>
      <c r="B36" s="525">
        <v>4012</v>
      </c>
      <c r="C36" s="524" t="s">
        <v>221</v>
      </c>
      <c r="D36" s="526">
        <v>4843227.57</v>
      </c>
      <c r="E36" s="558">
        <v>442138</v>
      </c>
      <c r="F36" s="558">
        <v>443875.95</v>
      </c>
      <c r="G36" s="558">
        <v>443896.27</v>
      </c>
      <c r="H36" s="672">
        <v>443896.27</v>
      </c>
      <c r="I36" s="558">
        <v>443896.27</v>
      </c>
      <c r="J36" s="680">
        <v>375074.97</v>
      </c>
      <c r="K36" s="559"/>
      <c r="L36" s="560"/>
      <c r="M36" s="560"/>
      <c r="N36" s="527"/>
      <c r="O36" s="556"/>
      <c r="P36" s="556"/>
      <c r="Q36" s="527">
        <f t="shared" si="1"/>
        <v>2592777.7299999995</v>
      </c>
      <c r="R36" s="538">
        <f t="shared" si="0"/>
        <v>2217702.7599999998</v>
      </c>
    </row>
    <row r="37" spans="1:18" x14ac:dyDescent="0.25">
      <c r="A37" s="652">
        <v>33</v>
      </c>
      <c r="B37" s="525">
        <v>4013</v>
      </c>
      <c r="C37" s="524" t="s">
        <v>223</v>
      </c>
      <c r="D37" s="526">
        <v>8044299.7299999986</v>
      </c>
      <c r="E37" s="558">
        <v>654398.57999999996</v>
      </c>
      <c r="F37" s="558">
        <v>657017.1</v>
      </c>
      <c r="G37" s="558">
        <v>657037.06999999995</v>
      </c>
      <c r="H37" s="672">
        <v>657037.06999999995</v>
      </c>
      <c r="I37" s="558">
        <v>657037.06999999995</v>
      </c>
      <c r="J37" s="680">
        <v>680253.26</v>
      </c>
      <c r="K37" s="559"/>
      <c r="L37" s="560"/>
      <c r="M37" s="560"/>
      <c r="N37" s="527"/>
      <c r="O37" s="556"/>
      <c r="P37" s="556"/>
      <c r="Q37" s="527">
        <f t="shared" si="1"/>
        <v>3962780.1499999994</v>
      </c>
      <c r="R37" s="538">
        <f t="shared" si="0"/>
        <v>3282526.8899999997</v>
      </c>
    </row>
    <row r="38" spans="1:18" x14ac:dyDescent="0.25">
      <c r="A38" s="652">
        <v>34</v>
      </c>
      <c r="B38" s="525">
        <v>4020</v>
      </c>
      <c r="C38" s="524" t="s">
        <v>347</v>
      </c>
      <c r="D38" s="526">
        <v>10735698.48</v>
      </c>
      <c r="E38" s="558">
        <v>848921.99</v>
      </c>
      <c r="F38" s="558">
        <v>852093.97</v>
      </c>
      <c r="G38" s="558">
        <v>852147.55</v>
      </c>
      <c r="H38" s="672">
        <v>852147.55</v>
      </c>
      <c r="I38" s="558">
        <v>852147.55</v>
      </c>
      <c r="J38" s="680">
        <v>925462.84</v>
      </c>
      <c r="K38" s="559"/>
      <c r="L38" s="560"/>
      <c r="M38" s="560"/>
      <c r="N38" s="527"/>
      <c r="O38" s="556"/>
      <c r="P38" s="556"/>
      <c r="Q38" s="527">
        <f t="shared" si="1"/>
        <v>5182921.4499999993</v>
      </c>
      <c r="R38" s="538">
        <f t="shared" si="0"/>
        <v>4257458.6099999994</v>
      </c>
    </row>
    <row r="39" spans="1:18" x14ac:dyDescent="0.25">
      <c r="A39" s="652">
        <v>35</v>
      </c>
      <c r="B39" s="525">
        <v>4030</v>
      </c>
      <c r="C39" s="524" t="s">
        <v>335</v>
      </c>
      <c r="D39" s="526">
        <v>2617918.2800000003</v>
      </c>
      <c r="E39" s="558">
        <v>227815.64</v>
      </c>
      <c r="F39" s="558">
        <v>228733.02</v>
      </c>
      <c r="G39" s="558">
        <v>228790.53</v>
      </c>
      <c r="H39" s="672">
        <v>228790.53</v>
      </c>
      <c r="I39" s="558">
        <v>228790.53</v>
      </c>
      <c r="J39" s="680">
        <v>210714</v>
      </c>
      <c r="K39" s="559"/>
      <c r="L39" s="560"/>
      <c r="M39" s="560"/>
      <c r="N39" s="527"/>
      <c r="O39" s="556"/>
      <c r="P39" s="556"/>
      <c r="Q39" s="527">
        <f t="shared" si="1"/>
        <v>1353634.25</v>
      </c>
      <c r="R39" s="538">
        <f t="shared" si="0"/>
        <v>1142920.25</v>
      </c>
    </row>
    <row r="40" spans="1:18" x14ac:dyDescent="0.25">
      <c r="A40" s="652">
        <v>36</v>
      </c>
      <c r="B40" s="525">
        <v>4031</v>
      </c>
      <c r="C40" s="524" t="s">
        <v>352</v>
      </c>
      <c r="D40" s="526">
        <v>3877071.86</v>
      </c>
      <c r="E40" s="558">
        <v>375586.71</v>
      </c>
      <c r="F40" s="558">
        <v>377076.81</v>
      </c>
      <c r="G40" s="558">
        <v>377131.17</v>
      </c>
      <c r="H40" s="672">
        <v>377131.17</v>
      </c>
      <c r="I40" s="558">
        <v>377131.18</v>
      </c>
      <c r="J40" s="680">
        <v>284716.40000000002</v>
      </c>
      <c r="K40" s="559"/>
      <c r="L40" s="560"/>
      <c r="M40" s="560"/>
      <c r="N40" s="527"/>
      <c r="O40" s="556"/>
      <c r="P40" s="556"/>
      <c r="Q40" s="527">
        <f t="shared" si="1"/>
        <v>2168773.44</v>
      </c>
      <c r="R40" s="538">
        <f t="shared" si="0"/>
        <v>1884057.0399999998</v>
      </c>
    </row>
    <row r="41" spans="1:18" x14ac:dyDescent="0.25">
      <c r="A41" s="652">
        <v>37</v>
      </c>
      <c r="B41" s="525">
        <v>4041</v>
      </c>
      <c r="C41" s="524" t="s">
        <v>225</v>
      </c>
      <c r="D41" s="526">
        <v>763631.2699999999</v>
      </c>
      <c r="E41" s="558">
        <v>60968.85</v>
      </c>
      <c r="F41" s="558">
        <v>61206.94</v>
      </c>
      <c r="G41" s="558">
        <v>61214.31</v>
      </c>
      <c r="H41" s="672">
        <v>61214.31</v>
      </c>
      <c r="I41" s="558">
        <v>61214.31</v>
      </c>
      <c r="J41" s="680">
        <v>65401.79</v>
      </c>
      <c r="K41" s="559"/>
      <c r="L41" s="560"/>
      <c r="M41" s="560"/>
      <c r="N41" s="527"/>
      <c r="O41" s="556"/>
      <c r="P41" s="556"/>
      <c r="Q41" s="527">
        <f t="shared" si="1"/>
        <v>371220.50999999995</v>
      </c>
      <c r="R41" s="538">
        <f t="shared" si="0"/>
        <v>305818.71999999997</v>
      </c>
    </row>
    <row r="42" spans="1:18" x14ac:dyDescent="0.25">
      <c r="A42" s="652">
        <v>38</v>
      </c>
      <c r="B42" s="525">
        <v>4050</v>
      </c>
      <c r="C42" s="524" t="s">
        <v>216</v>
      </c>
      <c r="D42" s="526">
        <v>6175355.7100000009</v>
      </c>
      <c r="E42" s="558">
        <v>547951.48</v>
      </c>
      <c r="F42" s="558">
        <v>550135.93000000005</v>
      </c>
      <c r="G42" s="558">
        <v>550189.84</v>
      </c>
      <c r="H42" s="672">
        <v>550189.82999999996</v>
      </c>
      <c r="I42" s="558">
        <v>550189.84</v>
      </c>
      <c r="J42" s="680">
        <v>489528.4</v>
      </c>
      <c r="K42" s="559"/>
      <c r="L42" s="560"/>
      <c r="M42" s="560"/>
      <c r="N42" s="527"/>
      <c r="O42" s="556"/>
      <c r="P42" s="556"/>
      <c r="Q42" s="527">
        <f t="shared" si="1"/>
        <v>3238185.32</v>
      </c>
      <c r="R42" s="538">
        <f t="shared" si="0"/>
        <v>2748656.92</v>
      </c>
    </row>
    <row r="43" spans="1:18" x14ac:dyDescent="0.25">
      <c r="A43" s="652">
        <v>39</v>
      </c>
      <c r="B43" s="525">
        <v>4051</v>
      </c>
      <c r="C43" s="524" t="s">
        <v>214</v>
      </c>
      <c r="D43" s="526">
        <v>6529388.5599999987</v>
      </c>
      <c r="E43" s="558">
        <v>601326.9</v>
      </c>
      <c r="F43" s="558">
        <v>603719.79</v>
      </c>
      <c r="G43" s="558">
        <v>603774.15</v>
      </c>
      <c r="H43" s="672">
        <v>603774.14</v>
      </c>
      <c r="I43" s="558">
        <v>603774.15</v>
      </c>
      <c r="J43" s="680">
        <v>501859.92</v>
      </c>
      <c r="K43" s="559"/>
      <c r="L43" s="560"/>
      <c r="M43" s="560"/>
      <c r="N43" s="527"/>
      <c r="O43" s="556"/>
      <c r="P43" s="556"/>
      <c r="Q43" s="527">
        <f t="shared" si="1"/>
        <v>3518229.05</v>
      </c>
      <c r="R43" s="538">
        <f t="shared" si="0"/>
        <v>3016369.13</v>
      </c>
    </row>
    <row r="44" spans="1:18" x14ac:dyDescent="0.25">
      <c r="A44" s="652">
        <v>40</v>
      </c>
      <c r="B44" s="525">
        <v>4061</v>
      </c>
      <c r="C44" s="524" t="s">
        <v>349</v>
      </c>
      <c r="D44" s="526">
        <v>8265443.830000001</v>
      </c>
      <c r="E44" s="558">
        <v>685584.55</v>
      </c>
      <c r="F44" s="558">
        <v>688138.52</v>
      </c>
      <c r="G44" s="558">
        <v>681940.1</v>
      </c>
      <c r="H44" s="672">
        <v>681940.1</v>
      </c>
      <c r="I44" s="558">
        <v>681940.1</v>
      </c>
      <c r="J44" s="680">
        <v>692271.49</v>
      </c>
      <c r="K44" s="559"/>
      <c r="L44" s="560"/>
      <c r="M44" s="560"/>
      <c r="N44" s="527"/>
      <c r="O44" s="556"/>
      <c r="P44" s="556"/>
      <c r="Q44" s="527">
        <f>SUM(E44:P44)</f>
        <v>4111814.8600000003</v>
      </c>
      <c r="R44" s="538">
        <f t="shared" si="0"/>
        <v>3419543.37</v>
      </c>
    </row>
    <row r="45" spans="1:18" x14ac:dyDescent="0.25">
      <c r="A45" s="652">
        <v>41</v>
      </c>
      <c r="B45" s="525">
        <v>4080</v>
      </c>
      <c r="C45" s="524" t="s">
        <v>237</v>
      </c>
      <c r="D45" s="526">
        <v>2011646.5999999996</v>
      </c>
      <c r="E45" s="558">
        <v>191555.8</v>
      </c>
      <c r="F45" s="558">
        <v>192257.13</v>
      </c>
      <c r="G45" s="558">
        <v>192310.43</v>
      </c>
      <c r="H45" s="672">
        <v>192310.42</v>
      </c>
      <c r="I45" s="558">
        <v>192310.43</v>
      </c>
      <c r="J45" s="680">
        <v>150128.91</v>
      </c>
      <c r="K45" s="559"/>
      <c r="L45" s="560"/>
      <c r="M45" s="560"/>
      <c r="N45" s="527"/>
      <c r="O45" s="556"/>
      <c r="P45" s="556"/>
      <c r="Q45" s="527">
        <f t="shared" si="1"/>
        <v>1110873.1199999999</v>
      </c>
      <c r="R45" s="538">
        <f t="shared" si="0"/>
        <v>960744.21</v>
      </c>
    </row>
    <row r="46" spans="1:18" x14ac:dyDescent="0.25">
      <c r="A46" s="652">
        <v>42</v>
      </c>
      <c r="B46" s="525">
        <v>4081</v>
      </c>
      <c r="C46" s="524" t="s">
        <v>234</v>
      </c>
      <c r="D46" s="526">
        <v>1003272.8500000001</v>
      </c>
      <c r="E46" s="558">
        <v>80762.73</v>
      </c>
      <c r="F46" s="558">
        <v>81046.89</v>
      </c>
      <c r="G46" s="558">
        <v>81071.899999999994</v>
      </c>
      <c r="H46" s="672">
        <v>81071.899999999994</v>
      </c>
      <c r="I46" s="558">
        <v>81071.899999999994</v>
      </c>
      <c r="J46" s="680">
        <v>85463.93</v>
      </c>
      <c r="K46" s="559"/>
      <c r="L46" s="560"/>
      <c r="M46" s="560"/>
      <c r="N46" s="527"/>
      <c r="O46" s="556"/>
      <c r="P46" s="556"/>
      <c r="Q46" s="527">
        <f t="shared" si="1"/>
        <v>490489.24999999994</v>
      </c>
      <c r="R46" s="538">
        <f t="shared" si="0"/>
        <v>405025.31999999995</v>
      </c>
    </row>
    <row r="47" spans="1:18" x14ac:dyDescent="0.25">
      <c r="A47" s="652">
        <v>43</v>
      </c>
      <c r="B47" s="525">
        <v>4090</v>
      </c>
      <c r="C47" s="524" t="s">
        <v>297</v>
      </c>
      <c r="D47" s="526">
        <v>2197357.8899999997</v>
      </c>
      <c r="E47" s="558">
        <v>224404.48000000001</v>
      </c>
      <c r="F47" s="558">
        <v>225292.32</v>
      </c>
      <c r="G47" s="558">
        <v>225343.81</v>
      </c>
      <c r="H47" s="672">
        <v>225343.81</v>
      </c>
      <c r="I47" s="558">
        <v>225343.81</v>
      </c>
      <c r="J47" s="680">
        <v>153089.95000000001</v>
      </c>
      <c r="K47" s="559"/>
      <c r="L47" s="560"/>
      <c r="M47" s="560"/>
      <c r="N47" s="527"/>
      <c r="O47" s="556"/>
      <c r="P47" s="556"/>
      <c r="Q47" s="527">
        <f t="shared" si="1"/>
        <v>1278818.1800000002</v>
      </c>
      <c r="R47" s="538">
        <f t="shared" si="0"/>
        <v>1125728.2300000002</v>
      </c>
    </row>
    <row r="48" spans="1:18" x14ac:dyDescent="0.25">
      <c r="A48" s="652">
        <v>44</v>
      </c>
      <c r="B48" s="525">
        <v>4091</v>
      </c>
      <c r="C48" s="524" t="s">
        <v>275</v>
      </c>
      <c r="D48" s="526">
        <v>3446386.3000000003</v>
      </c>
      <c r="E48" s="558">
        <v>299464.48</v>
      </c>
      <c r="F48" s="558">
        <v>300659.7</v>
      </c>
      <c r="G48" s="558">
        <v>300715.7</v>
      </c>
      <c r="H48" s="672">
        <v>300715.7</v>
      </c>
      <c r="I48" s="558">
        <v>300715.7</v>
      </c>
      <c r="J48" s="680">
        <v>277730.71999999997</v>
      </c>
      <c r="K48" s="559"/>
      <c r="L48" s="560"/>
      <c r="M48" s="560"/>
      <c r="N48" s="527"/>
      <c r="O48" s="556"/>
      <c r="P48" s="556"/>
      <c r="Q48" s="527">
        <f t="shared" si="1"/>
        <v>1780001.9999999998</v>
      </c>
      <c r="R48" s="538">
        <f t="shared" si="0"/>
        <v>1502271.2799999998</v>
      </c>
    </row>
    <row r="49" spans="1:26" x14ac:dyDescent="0.25">
      <c r="A49" s="652">
        <v>45</v>
      </c>
      <c r="B49" s="525">
        <v>4100</v>
      </c>
      <c r="C49" s="524" t="s">
        <v>298</v>
      </c>
      <c r="D49" s="526">
        <v>3341146.62</v>
      </c>
      <c r="E49" s="558">
        <v>267680.53000000003</v>
      </c>
      <c r="F49" s="558">
        <v>268790.57</v>
      </c>
      <c r="G49" s="558">
        <v>268808.69</v>
      </c>
      <c r="H49" s="672">
        <v>268808.69</v>
      </c>
      <c r="I49" s="558">
        <v>268808.69</v>
      </c>
      <c r="J49" s="680">
        <v>285464.21000000002</v>
      </c>
      <c r="K49" s="559"/>
      <c r="L49" s="560"/>
      <c r="M49" s="560"/>
      <c r="N49" s="527"/>
      <c r="O49" s="556"/>
      <c r="P49" s="556"/>
      <c r="Q49" s="527">
        <f t="shared" si="1"/>
        <v>1628361.38</v>
      </c>
      <c r="R49" s="538">
        <f t="shared" si="0"/>
        <v>1342897.17</v>
      </c>
    </row>
    <row r="50" spans="1:26" x14ac:dyDescent="0.25">
      <c r="A50" s="652">
        <v>46</v>
      </c>
      <c r="B50" s="565">
        <v>4102</v>
      </c>
      <c r="C50" s="564" t="s">
        <v>299</v>
      </c>
      <c r="D50" s="563">
        <v>0</v>
      </c>
      <c r="E50" s="563">
        <v>0</v>
      </c>
      <c r="F50" s="563">
        <v>0</v>
      </c>
      <c r="G50" s="563">
        <v>0</v>
      </c>
      <c r="H50" s="678">
        <v>0</v>
      </c>
      <c r="I50" s="563">
        <v>0</v>
      </c>
      <c r="J50" s="680">
        <v>0</v>
      </c>
      <c r="K50" s="559"/>
      <c r="L50" s="560"/>
      <c r="M50" s="560"/>
      <c r="N50" s="527"/>
      <c r="O50" s="556"/>
      <c r="P50" s="556"/>
      <c r="Q50" s="527">
        <f t="shared" si="1"/>
        <v>0</v>
      </c>
      <c r="R50" s="538">
        <f t="shared" si="0"/>
        <v>0</v>
      </c>
      <c r="S50" s="569"/>
      <c r="T50" s="570"/>
      <c r="U50" s="570"/>
      <c r="V50" s="570"/>
      <c r="W50" s="570"/>
      <c r="X50" s="570"/>
      <c r="Y50" s="570"/>
      <c r="Z50" s="570"/>
    </row>
    <row r="51" spans="1:26" x14ac:dyDescent="0.25">
      <c r="A51" s="652">
        <v>47</v>
      </c>
      <c r="B51" s="525">
        <v>4103</v>
      </c>
      <c r="C51" s="524" t="s">
        <v>324</v>
      </c>
      <c r="D51" s="526">
        <v>7964998.7000000011</v>
      </c>
      <c r="E51" s="558">
        <v>703538.19</v>
      </c>
      <c r="F51" s="558">
        <v>706336.97</v>
      </c>
      <c r="G51" s="558">
        <v>706388.95</v>
      </c>
      <c r="H51" s="672">
        <v>706388.94</v>
      </c>
      <c r="I51" s="558">
        <v>706388.95</v>
      </c>
      <c r="J51" s="680">
        <v>633708.1</v>
      </c>
      <c r="K51" s="559"/>
      <c r="L51" s="560"/>
      <c r="M51" s="560"/>
      <c r="N51" s="538"/>
      <c r="O51" s="560"/>
      <c r="P51" s="560"/>
      <c r="Q51" s="538">
        <f t="shared" si="1"/>
        <v>4162750.1</v>
      </c>
      <c r="R51" s="538">
        <f t="shared" si="0"/>
        <v>3529042</v>
      </c>
    </row>
    <row r="52" spans="1:26" x14ac:dyDescent="0.25">
      <c r="A52" s="652">
        <v>48</v>
      </c>
      <c r="B52" s="525">
        <v>4111</v>
      </c>
      <c r="C52" s="524" t="s">
        <v>342</v>
      </c>
      <c r="D52" s="526">
        <v>2417042.12</v>
      </c>
      <c r="E52" s="558">
        <v>202038.36</v>
      </c>
      <c r="F52" s="558">
        <v>202840.7</v>
      </c>
      <c r="G52" s="558">
        <v>202891.8</v>
      </c>
      <c r="H52" s="672">
        <v>202891.8</v>
      </c>
      <c r="I52" s="558">
        <v>202891.8</v>
      </c>
      <c r="J52" s="680">
        <v>200498.24</v>
      </c>
      <c r="K52" s="559"/>
      <c r="L52" s="560"/>
      <c r="M52" s="560"/>
      <c r="N52" s="527"/>
      <c r="O52" s="556"/>
      <c r="P52" s="556"/>
      <c r="Q52" s="527">
        <f t="shared" si="1"/>
        <v>1214052.7</v>
      </c>
      <c r="R52" s="538">
        <f t="shared" si="0"/>
        <v>1013554.46</v>
      </c>
    </row>
    <row r="53" spans="1:26" x14ac:dyDescent="0.25">
      <c r="A53" s="652">
        <v>49</v>
      </c>
      <c r="B53" s="525">
        <v>4131</v>
      </c>
      <c r="C53" s="524" t="s">
        <v>374</v>
      </c>
      <c r="D53" s="526">
        <v>800620.57999999984</v>
      </c>
      <c r="E53" s="558">
        <v>44299.33</v>
      </c>
      <c r="F53" s="558">
        <v>44475.26</v>
      </c>
      <c r="G53" s="558">
        <v>44489.32</v>
      </c>
      <c r="H53" s="672">
        <v>44489.32</v>
      </c>
      <c r="I53" s="558">
        <v>44489.32</v>
      </c>
      <c r="J53" s="680">
        <v>82625.429999999993</v>
      </c>
      <c r="K53" s="559"/>
      <c r="L53" s="560"/>
      <c r="M53" s="560"/>
      <c r="N53" s="527"/>
      <c r="O53" s="556"/>
      <c r="P53" s="556"/>
      <c r="Q53" s="527">
        <f>SUM(E53:P53)</f>
        <v>304867.98</v>
      </c>
      <c r="R53" s="538">
        <f t="shared" si="0"/>
        <v>222242.55000000002</v>
      </c>
    </row>
    <row r="54" spans="1:26" x14ac:dyDescent="0.25">
      <c r="J54" s="682"/>
      <c r="R54" s="538">
        <f t="shared" ref="R54" si="2">SUM(E54:I54)</f>
        <v>0</v>
      </c>
    </row>
    <row r="55" spans="1:26" x14ac:dyDescent="0.25">
      <c r="D55" s="526">
        <f>SUM(D5:D54)</f>
        <v>204941639.33000001</v>
      </c>
      <c r="E55" s="526">
        <f t="shared" ref="E55:P55" si="3">SUM(E7:E54)</f>
        <v>17016582.480000004</v>
      </c>
      <c r="F55" s="526">
        <f>SUM(F7:F54)</f>
        <v>17079477.580000002</v>
      </c>
      <c r="G55" s="526">
        <f>SUM(G7:G54)</f>
        <v>17074744.390000001</v>
      </c>
      <c r="H55" s="526">
        <f>SUM(H5:H54)</f>
        <v>17123232.370000001</v>
      </c>
      <c r="I55" s="526">
        <f>SUM(I5:I54)</f>
        <v>17123225.07</v>
      </c>
      <c r="J55" s="539">
        <f>SUM(J5:J54)</f>
        <v>17074911.039999999</v>
      </c>
      <c r="K55" s="539">
        <f t="shared" si="3"/>
        <v>0</v>
      </c>
      <c r="L55" s="526">
        <f t="shared" si="3"/>
        <v>0</v>
      </c>
      <c r="M55" s="526">
        <f t="shared" si="3"/>
        <v>0</v>
      </c>
      <c r="N55" s="526">
        <f t="shared" si="3"/>
        <v>0</v>
      </c>
      <c r="O55" s="526">
        <f t="shared" si="3"/>
        <v>0</v>
      </c>
      <c r="P55" s="526">
        <f t="shared" si="3"/>
        <v>0</v>
      </c>
      <c r="Q55" s="526">
        <f>SUM(Q5:Q54)</f>
        <v>102492172.93000001</v>
      </c>
      <c r="R55" s="538">
        <f>SUM(E55:I55)</f>
        <v>85417261.890000015</v>
      </c>
    </row>
    <row r="57" spans="1:26" x14ac:dyDescent="0.25">
      <c r="I57" s="535" t="s">
        <v>294</v>
      </c>
      <c r="J57" s="528">
        <f>'Annual Rev &amp; Fees'!L56</f>
        <v>204874975.40000001</v>
      </c>
      <c r="L57" s="529"/>
    </row>
    <row r="58" spans="1:26" x14ac:dyDescent="0.25">
      <c r="I58" s="535" t="s">
        <v>507</v>
      </c>
      <c r="J58" s="531">
        <f>D55-R55</f>
        <v>119524377.44</v>
      </c>
      <c r="L58" s="529"/>
    </row>
    <row r="59" spans="1:26" x14ac:dyDescent="0.25">
      <c r="I59" s="535" t="s">
        <v>508</v>
      </c>
      <c r="J59" s="530">
        <f>J58/7</f>
        <v>17074911.062857144</v>
      </c>
      <c r="K59" s="540"/>
      <c r="L59" s="529"/>
    </row>
    <row r="60" spans="1:26" x14ac:dyDescent="0.25">
      <c r="I60" s="535" t="s">
        <v>509</v>
      </c>
      <c r="J60" s="531">
        <f>J55</f>
        <v>17074911.039999999</v>
      </c>
      <c r="L60" s="529"/>
    </row>
    <row r="61" spans="1:26" x14ac:dyDescent="0.25">
      <c r="J61" s="530">
        <f>J59-J60</f>
        <v>2.2857144474983215E-2</v>
      </c>
      <c r="K61" s="537" t="s">
        <v>505</v>
      </c>
      <c r="L61" s="529"/>
    </row>
    <row r="62" spans="1:26" x14ac:dyDescent="0.25">
      <c r="J62" s="529"/>
      <c r="L62" s="529"/>
    </row>
    <row r="63" spans="1:26" x14ac:dyDescent="0.25">
      <c r="D63" s="541"/>
      <c r="J63" s="529"/>
      <c r="L63" s="529"/>
    </row>
    <row r="67" spans="1:18" x14ac:dyDescent="0.25">
      <c r="N67" s="557" t="s">
        <v>524</v>
      </c>
    </row>
    <row r="69" spans="1:18" ht="45" x14ac:dyDescent="0.25">
      <c r="A69" s="532" t="s">
        <v>328</v>
      </c>
      <c r="B69" s="533" t="s">
        <v>328</v>
      </c>
      <c r="C69" s="532" t="s">
        <v>328</v>
      </c>
      <c r="D69" s="543" t="s">
        <v>294</v>
      </c>
      <c r="E69" s="543" t="s">
        <v>493</v>
      </c>
      <c r="F69" s="533" t="s">
        <v>494</v>
      </c>
      <c r="G69" s="533" t="s">
        <v>495</v>
      </c>
      <c r="H69" s="533" t="s">
        <v>496</v>
      </c>
      <c r="I69" s="533" t="s">
        <v>497</v>
      </c>
      <c r="J69" s="533" t="s">
        <v>498</v>
      </c>
      <c r="K69" s="544" t="s">
        <v>499</v>
      </c>
      <c r="L69" s="533" t="s">
        <v>500</v>
      </c>
      <c r="M69" s="533" t="s">
        <v>501</v>
      </c>
      <c r="N69" s="533" t="s">
        <v>502</v>
      </c>
      <c r="O69" s="533" t="s">
        <v>503</v>
      </c>
      <c r="P69" s="533" t="s">
        <v>504</v>
      </c>
      <c r="Q69" s="533" t="s">
        <v>8</v>
      </c>
      <c r="R69" s="534" t="s">
        <v>506</v>
      </c>
    </row>
    <row r="70" spans="1:18" x14ac:dyDescent="0.25">
      <c r="A70" s="532"/>
      <c r="B70" s="533"/>
      <c r="C70" s="652" t="s">
        <v>540</v>
      </c>
      <c r="D70" s="543"/>
      <c r="E70" s="543"/>
      <c r="F70" s="533"/>
      <c r="G70" s="533"/>
      <c r="H70" s="676">
        <v>22026.35</v>
      </c>
      <c r="I70" s="679">
        <v>22018.93</v>
      </c>
      <c r="J70" s="533"/>
      <c r="K70" s="544"/>
      <c r="L70" s="533"/>
      <c r="M70" s="533"/>
      <c r="N70" s="533"/>
      <c r="O70" s="533"/>
      <c r="P70" s="533"/>
      <c r="Q70" s="677">
        <f>SUM(E70:P70)</f>
        <v>44045.279999999999</v>
      </c>
      <c r="R70" s="538">
        <f>SUM(E70:M70)</f>
        <v>44045.279999999999</v>
      </c>
    </row>
    <row r="71" spans="1:18" x14ac:dyDescent="0.25">
      <c r="A71" s="532"/>
      <c r="B71" s="533"/>
      <c r="C71" s="652" t="s">
        <v>541</v>
      </c>
      <c r="D71" s="543"/>
      <c r="E71" s="543"/>
      <c r="F71" s="533"/>
      <c r="G71" s="533"/>
      <c r="H71" s="676">
        <v>26461.7</v>
      </c>
      <c r="I71" s="679">
        <v>26461.7</v>
      </c>
      <c r="J71" s="533"/>
      <c r="K71" s="544"/>
      <c r="L71" s="533"/>
      <c r="M71" s="533"/>
      <c r="N71" s="533"/>
      <c r="O71" s="533"/>
      <c r="P71" s="533"/>
      <c r="Q71" s="677">
        <f>SUM(E71:P71)</f>
        <v>52923.4</v>
      </c>
      <c r="R71" s="538">
        <f>SUM(E71:M71)</f>
        <v>52923.4</v>
      </c>
    </row>
    <row r="72" spans="1:18" x14ac:dyDescent="0.25">
      <c r="A72" s="524">
        <v>1</v>
      </c>
      <c r="B72" s="525" t="s">
        <v>158</v>
      </c>
      <c r="C72" s="524" t="s">
        <v>190</v>
      </c>
      <c r="D72" s="526">
        <v>6536346.29</v>
      </c>
      <c r="E72" s="558">
        <v>543134.93000000005</v>
      </c>
      <c r="F72" s="558">
        <v>544837.4</v>
      </c>
      <c r="G72" s="558">
        <v>544837.4</v>
      </c>
      <c r="H72" s="558">
        <v>544837.4</v>
      </c>
      <c r="I72" s="680">
        <v>544837.4</v>
      </c>
      <c r="J72" s="558"/>
      <c r="K72" s="559"/>
      <c r="L72" s="560"/>
      <c r="M72" s="560"/>
      <c r="N72" s="538"/>
      <c r="O72" s="556"/>
      <c r="Q72" s="677">
        <f>SUM(E72:P72)</f>
        <v>2722484.53</v>
      </c>
      <c r="R72" s="538">
        <f>SUM(E72:M72)</f>
        <v>2722484.53</v>
      </c>
    </row>
    <row r="73" spans="1:18" x14ac:dyDescent="0.25">
      <c r="A73" s="524">
        <v>2</v>
      </c>
      <c r="B73" s="525" t="s">
        <v>159</v>
      </c>
      <c r="C73" s="524" t="s">
        <v>192</v>
      </c>
      <c r="D73" s="526">
        <v>8953799.410000002</v>
      </c>
      <c r="E73" s="558">
        <v>744106.29</v>
      </c>
      <c r="F73" s="558">
        <v>746335.74</v>
      </c>
      <c r="G73" s="558">
        <v>746356.02</v>
      </c>
      <c r="H73" s="558">
        <v>746356.02</v>
      </c>
      <c r="I73" s="680">
        <v>746356.02</v>
      </c>
      <c r="J73" s="558"/>
      <c r="K73" s="559"/>
      <c r="L73" s="560"/>
      <c r="M73" s="560"/>
      <c r="N73" s="538"/>
      <c r="O73" s="556"/>
      <c r="Q73" s="677">
        <f t="shared" ref="Q73:Q114" si="4">SUM(E73:P73)</f>
        <v>3729510.09</v>
      </c>
      <c r="R73" s="538">
        <f t="shared" ref="R73:R117" si="5">SUM(E73:M73)</f>
        <v>3729510.09</v>
      </c>
    </row>
    <row r="74" spans="1:18" x14ac:dyDescent="0.25">
      <c r="A74" s="524">
        <v>3</v>
      </c>
      <c r="B74" s="525" t="s">
        <v>160</v>
      </c>
      <c r="C74" s="524" t="s">
        <v>193</v>
      </c>
      <c r="D74" s="526">
        <v>1156850.6299999999</v>
      </c>
      <c r="E74" s="558">
        <v>96199.14</v>
      </c>
      <c r="F74" s="558">
        <v>96422.86</v>
      </c>
      <c r="G74" s="558">
        <v>96437.43</v>
      </c>
      <c r="H74" s="558">
        <v>96437.43</v>
      </c>
      <c r="I74" s="680">
        <v>96437.440000000002</v>
      </c>
      <c r="J74" s="558"/>
      <c r="K74" s="559"/>
      <c r="L74" s="560"/>
      <c r="M74" s="560"/>
      <c r="N74" s="538"/>
      <c r="O74" s="556"/>
      <c r="Q74" s="677">
        <f t="shared" si="4"/>
        <v>481934.3</v>
      </c>
      <c r="R74" s="538">
        <f t="shared" si="5"/>
        <v>481934.3</v>
      </c>
    </row>
    <row r="75" spans="1:18" x14ac:dyDescent="0.25">
      <c r="A75" s="524">
        <v>4</v>
      </c>
      <c r="B75" s="525" t="s">
        <v>161</v>
      </c>
      <c r="C75" s="524" t="s">
        <v>194</v>
      </c>
      <c r="D75" s="526">
        <v>952582.03</v>
      </c>
      <c r="E75" s="558">
        <v>79086.62</v>
      </c>
      <c r="F75" s="558">
        <v>79408.67</v>
      </c>
      <c r="G75" s="558">
        <v>112782.39999999999</v>
      </c>
      <c r="H75" s="558">
        <v>112782.39999999999</v>
      </c>
      <c r="I75" s="680">
        <v>112782.39999999999</v>
      </c>
      <c r="J75" s="558"/>
      <c r="K75" s="559"/>
      <c r="L75" s="560"/>
      <c r="M75" s="560"/>
      <c r="N75" s="538"/>
      <c r="O75" s="556"/>
      <c r="Q75" s="677">
        <f t="shared" si="4"/>
        <v>496842.49</v>
      </c>
      <c r="R75" s="538">
        <f t="shared" si="5"/>
        <v>496842.49</v>
      </c>
    </row>
    <row r="76" spans="1:18" x14ac:dyDescent="0.25">
      <c r="A76" s="524">
        <v>5</v>
      </c>
      <c r="B76" s="525" t="s">
        <v>162</v>
      </c>
      <c r="C76" s="524" t="s">
        <v>295</v>
      </c>
      <c r="D76" s="526">
        <v>4497003.78</v>
      </c>
      <c r="E76" s="558">
        <v>373318.84</v>
      </c>
      <c r="F76" s="558">
        <v>374880.45</v>
      </c>
      <c r="G76" s="558">
        <v>374908.37</v>
      </c>
      <c r="H76" s="558">
        <v>374908.37</v>
      </c>
      <c r="I76" s="680">
        <v>374908.37</v>
      </c>
      <c r="J76" s="558"/>
      <c r="K76" s="559"/>
      <c r="L76" s="560"/>
      <c r="M76" s="560"/>
      <c r="N76" s="538"/>
      <c r="O76" s="556"/>
      <c r="Q76" s="677">
        <f t="shared" si="4"/>
        <v>1872924.4000000004</v>
      </c>
      <c r="R76" s="538">
        <f t="shared" si="5"/>
        <v>1872924.4000000004</v>
      </c>
    </row>
    <row r="77" spans="1:18" x14ac:dyDescent="0.25">
      <c r="A77" s="524">
        <v>6</v>
      </c>
      <c r="B77" s="525" t="s">
        <v>163</v>
      </c>
      <c r="C77" s="524" t="s">
        <v>377</v>
      </c>
      <c r="D77" s="526">
        <v>5275816.53</v>
      </c>
      <c r="E77" s="558">
        <v>438241.71</v>
      </c>
      <c r="F77" s="558">
        <v>439779.53</v>
      </c>
      <c r="G77" s="558">
        <v>439835.38</v>
      </c>
      <c r="H77" s="558">
        <v>439835.38</v>
      </c>
      <c r="I77" s="680">
        <v>439835.38</v>
      </c>
      <c r="J77" s="558"/>
      <c r="K77" s="559"/>
      <c r="L77" s="560"/>
      <c r="M77" s="560"/>
      <c r="N77" s="538"/>
      <c r="O77" s="556"/>
      <c r="Q77" s="677">
        <f t="shared" si="4"/>
        <v>2197527.38</v>
      </c>
      <c r="R77" s="538">
        <f t="shared" si="5"/>
        <v>2197527.38</v>
      </c>
    </row>
    <row r="78" spans="1:18" x14ac:dyDescent="0.25">
      <c r="A78" s="524">
        <v>7</v>
      </c>
      <c r="B78" s="525" t="s">
        <v>164</v>
      </c>
      <c r="C78" s="524" t="s">
        <v>196</v>
      </c>
      <c r="D78" s="526">
        <v>5522296.9900000002</v>
      </c>
      <c r="E78" s="558">
        <v>458554.15</v>
      </c>
      <c r="F78" s="558">
        <v>460340.26</v>
      </c>
      <c r="G78" s="558">
        <v>460361.47</v>
      </c>
      <c r="H78" s="558">
        <v>460361.47</v>
      </c>
      <c r="I78" s="680">
        <v>460361.47</v>
      </c>
      <c r="J78" s="558"/>
      <c r="K78" s="559"/>
      <c r="L78" s="560"/>
      <c r="M78" s="560"/>
      <c r="N78" s="538"/>
      <c r="O78" s="556"/>
      <c r="Q78" s="677">
        <f t="shared" si="4"/>
        <v>2299978.8199999998</v>
      </c>
      <c r="R78" s="538">
        <f t="shared" si="5"/>
        <v>2299978.8199999998</v>
      </c>
    </row>
    <row r="79" spans="1:18" x14ac:dyDescent="0.25">
      <c r="A79" s="524">
        <v>8</v>
      </c>
      <c r="B79" s="525" t="s">
        <v>165</v>
      </c>
      <c r="C79" s="524" t="s">
        <v>197</v>
      </c>
      <c r="D79" s="526">
        <v>10438762.450000001</v>
      </c>
      <c r="E79" s="558">
        <v>866760.71</v>
      </c>
      <c r="F79" s="558">
        <v>870181.98</v>
      </c>
      <c r="G79" s="558">
        <v>870232.61</v>
      </c>
      <c r="H79" s="558">
        <v>870232.61</v>
      </c>
      <c r="I79" s="680">
        <v>870232.61</v>
      </c>
      <c r="J79" s="558"/>
      <c r="K79" s="559"/>
      <c r="L79" s="560"/>
      <c r="M79" s="560"/>
      <c r="N79" s="538"/>
      <c r="O79" s="556"/>
      <c r="Q79" s="677">
        <f t="shared" si="4"/>
        <v>4347640.5199999996</v>
      </c>
      <c r="R79" s="538">
        <f t="shared" si="5"/>
        <v>4347640.5199999996</v>
      </c>
    </row>
    <row r="80" spans="1:18" x14ac:dyDescent="0.25">
      <c r="A80" s="524">
        <v>9</v>
      </c>
      <c r="B80" s="525" t="s">
        <v>166</v>
      </c>
      <c r="C80" s="524" t="s">
        <v>386</v>
      </c>
      <c r="D80" s="526">
        <v>5035880.4999999981</v>
      </c>
      <c r="E80" s="558">
        <v>418062.5</v>
      </c>
      <c r="F80" s="558">
        <v>419801.64</v>
      </c>
      <c r="G80" s="558">
        <v>419829.87</v>
      </c>
      <c r="H80" s="558">
        <v>419829.87</v>
      </c>
      <c r="I80" s="680">
        <v>419829.87</v>
      </c>
      <c r="J80" s="558"/>
      <c r="K80" s="559"/>
      <c r="L80" s="560"/>
      <c r="M80" s="560"/>
      <c r="N80" s="538"/>
      <c r="O80" s="556"/>
      <c r="Q80" s="677">
        <f t="shared" si="4"/>
        <v>2097353.75</v>
      </c>
      <c r="R80" s="538">
        <f t="shared" si="5"/>
        <v>2097353.75</v>
      </c>
    </row>
    <row r="81" spans="1:18" x14ac:dyDescent="0.25">
      <c r="A81" s="524">
        <v>10</v>
      </c>
      <c r="B81" s="525" t="s">
        <v>167</v>
      </c>
      <c r="C81" s="524" t="s">
        <v>385</v>
      </c>
      <c r="D81" s="526">
        <v>1027156.0000000002</v>
      </c>
      <c r="E81" s="558">
        <v>85480.95</v>
      </c>
      <c r="F81" s="558">
        <v>85606.82</v>
      </c>
      <c r="G81" s="558">
        <v>85621.5</v>
      </c>
      <c r="H81" s="558">
        <v>85621.5</v>
      </c>
      <c r="I81" s="680">
        <v>85621.5</v>
      </c>
      <c r="J81" s="558"/>
      <c r="K81" s="559"/>
      <c r="L81" s="560"/>
      <c r="M81" s="560"/>
      <c r="N81" s="538"/>
      <c r="O81" s="556"/>
      <c r="Q81" s="677">
        <f t="shared" si="4"/>
        <v>427952.27</v>
      </c>
      <c r="R81" s="538">
        <f t="shared" si="5"/>
        <v>427952.27</v>
      </c>
    </row>
    <row r="82" spans="1:18" x14ac:dyDescent="0.25">
      <c r="A82" s="524">
        <v>11</v>
      </c>
      <c r="B82" s="525" t="s">
        <v>168</v>
      </c>
      <c r="C82" s="524" t="s">
        <v>200</v>
      </c>
      <c r="D82" s="526">
        <v>9060317.0200000014</v>
      </c>
      <c r="E82" s="558">
        <v>752379.59</v>
      </c>
      <c r="F82" s="558">
        <v>755267.04</v>
      </c>
      <c r="G82" s="558">
        <v>755288.45</v>
      </c>
      <c r="H82" s="558">
        <v>755288.45</v>
      </c>
      <c r="I82" s="680">
        <v>755288.46</v>
      </c>
      <c r="J82" s="558"/>
      <c r="K82" s="559"/>
      <c r="L82" s="560"/>
      <c r="M82" s="560"/>
      <c r="N82" s="538"/>
      <c r="O82" s="556"/>
      <c r="Q82" s="677">
        <f t="shared" si="4"/>
        <v>3773511.99</v>
      </c>
      <c r="R82" s="538">
        <f t="shared" si="5"/>
        <v>3773511.99</v>
      </c>
    </row>
    <row r="83" spans="1:18" x14ac:dyDescent="0.25">
      <c r="A83" s="524">
        <v>12</v>
      </c>
      <c r="B83" s="525" t="s">
        <v>169</v>
      </c>
      <c r="C83" s="524" t="s">
        <v>202</v>
      </c>
      <c r="D83" s="526">
        <v>2211875.7700000005</v>
      </c>
      <c r="E83" s="558">
        <v>183876.95</v>
      </c>
      <c r="F83" s="558">
        <v>184363.53</v>
      </c>
      <c r="G83" s="558">
        <v>184416.79</v>
      </c>
      <c r="H83" s="558">
        <v>184416.79</v>
      </c>
      <c r="I83" s="680">
        <v>184416.79</v>
      </c>
      <c r="J83" s="558"/>
      <c r="K83" s="559"/>
      <c r="L83" s="560"/>
      <c r="M83" s="560"/>
      <c r="N83" s="538"/>
      <c r="O83" s="556"/>
      <c r="Q83" s="677">
        <f t="shared" si="4"/>
        <v>921490.85000000009</v>
      </c>
      <c r="R83" s="538">
        <f t="shared" si="5"/>
        <v>921490.85000000009</v>
      </c>
    </row>
    <row r="84" spans="1:18" x14ac:dyDescent="0.25">
      <c r="A84" s="524">
        <v>13</v>
      </c>
      <c r="B84" s="525" t="s">
        <v>170</v>
      </c>
      <c r="C84" s="524" t="s">
        <v>204</v>
      </c>
      <c r="D84" s="526">
        <v>400303.13</v>
      </c>
      <c r="E84" s="558">
        <v>33300.01</v>
      </c>
      <c r="F84" s="558">
        <v>33363.919999999998</v>
      </c>
      <c r="G84" s="558">
        <v>0</v>
      </c>
      <c r="H84" s="558">
        <v>0</v>
      </c>
      <c r="I84" s="680">
        <v>0</v>
      </c>
      <c r="J84" s="558"/>
      <c r="K84" s="559"/>
      <c r="L84" s="560"/>
      <c r="M84" s="560"/>
      <c r="N84" s="538"/>
      <c r="O84" s="556"/>
      <c r="Q84" s="677">
        <f t="shared" si="4"/>
        <v>66663.929999999993</v>
      </c>
      <c r="R84" s="538">
        <f t="shared" si="5"/>
        <v>66663.929999999993</v>
      </c>
    </row>
    <row r="85" spans="1:18" x14ac:dyDescent="0.25">
      <c r="A85" s="524">
        <v>14</v>
      </c>
      <c r="B85" s="525" t="s">
        <v>171</v>
      </c>
      <c r="C85" s="524" t="s">
        <v>205</v>
      </c>
      <c r="D85" s="526">
        <v>1737052.6</v>
      </c>
      <c r="E85" s="558">
        <v>144251.51</v>
      </c>
      <c r="F85" s="558">
        <v>144800.1</v>
      </c>
      <c r="G85" s="558">
        <v>144845.64000000001</v>
      </c>
      <c r="H85" s="558">
        <v>144845.64000000001</v>
      </c>
      <c r="I85" s="680">
        <v>144845.64000000001</v>
      </c>
      <c r="J85" s="558"/>
      <c r="K85" s="559"/>
      <c r="L85" s="560"/>
      <c r="M85" s="560"/>
      <c r="N85" s="538"/>
      <c r="O85" s="556"/>
      <c r="Q85" s="677">
        <f t="shared" si="4"/>
        <v>723588.53</v>
      </c>
      <c r="R85" s="538">
        <f t="shared" si="5"/>
        <v>723588.53</v>
      </c>
    </row>
    <row r="86" spans="1:18" x14ac:dyDescent="0.25">
      <c r="A86" s="524">
        <v>15</v>
      </c>
      <c r="B86" s="525" t="s">
        <v>172</v>
      </c>
      <c r="C86" s="524" t="s">
        <v>296</v>
      </c>
      <c r="D86" s="526">
        <v>4462369.46</v>
      </c>
      <c r="E86" s="558">
        <v>370530.88</v>
      </c>
      <c r="F86" s="558">
        <v>371985.33</v>
      </c>
      <c r="G86" s="558">
        <v>372039.83</v>
      </c>
      <c r="H86" s="558">
        <v>372039.83</v>
      </c>
      <c r="I86" s="680">
        <v>372039.83</v>
      </c>
      <c r="J86" s="558"/>
      <c r="K86" s="559"/>
      <c r="L86" s="560"/>
      <c r="M86" s="560"/>
      <c r="N86" s="538"/>
      <c r="O86" s="556"/>
      <c r="Q86" s="677">
        <f t="shared" si="4"/>
        <v>1858635.7000000002</v>
      </c>
      <c r="R86" s="538">
        <f t="shared" si="5"/>
        <v>1858635.7000000002</v>
      </c>
    </row>
    <row r="87" spans="1:18" x14ac:dyDescent="0.25">
      <c r="A87" s="524">
        <v>16</v>
      </c>
      <c r="B87" s="525" t="s">
        <v>173</v>
      </c>
      <c r="C87" s="524" t="s">
        <v>227</v>
      </c>
      <c r="D87" s="526">
        <v>5507739.4900000002</v>
      </c>
      <c r="E87" s="558">
        <v>457612.31</v>
      </c>
      <c r="F87" s="558">
        <v>459102.47</v>
      </c>
      <c r="G87" s="558">
        <v>465112.24</v>
      </c>
      <c r="H87" s="558">
        <v>465112.24</v>
      </c>
      <c r="I87" s="680">
        <v>465112.24</v>
      </c>
      <c r="J87" s="558"/>
      <c r="K87" s="559"/>
      <c r="L87" s="560"/>
      <c r="M87" s="560"/>
      <c r="N87" s="538"/>
      <c r="O87" s="556"/>
      <c r="Q87" s="677">
        <f t="shared" si="4"/>
        <v>2312051.5</v>
      </c>
      <c r="R87" s="538">
        <f t="shared" si="5"/>
        <v>2312051.5</v>
      </c>
    </row>
    <row r="88" spans="1:18" x14ac:dyDescent="0.25">
      <c r="A88" s="524">
        <v>17</v>
      </c>
      <c r="B88" s="525" t="s">
        <v>174</v>
      </c>
      <c r="C88" s="524" t="s">
        <v>195</v>
      </c>
      <c r="D88" s="526">
        <v>991675.07000000007</v>
      </c>
      <c r="E88" s="558">
        <v>82429.48</v>
      </c>
      <c r="F88" s="558">
        <v>82658.69</v>
      </c>
      <c r="G88" s="558">
        <v>82683.14</v>
      </c>
      <c r="H88" s="558">
        <v>82683.14</v>
      </c>
      <c r="I88" s="680">
        <v>82683.14</v>
      </c>
      <c r="J88" s="558"/>
      <c r="K88" s="559"/>
      <c r="L88" s="560"/>
      <c r="M88" s="560"/>
      <c r="N88" s="538"/>
      <c r="O88" s="556"/>
      <c r="Q88" s="677">
        <f t="shared" si="4"/>
        <v>413137.59</v>
      </c>
      <c r="R88" s="538">
        <f t="shared" si="5"/>
        <v>413137.59</v>
      </c>
    </row>
    <row r="89" spans="1:18" x14ac:dyDescent="0.25">
      <c r="A89" s="524">
        <v>18</v>
      </c>
      <c r="B89" s="525" t="s">
        <v>175</v>
      </c>
      <c r="C89" s="524" t="s">
        <v>189</v>
      </c>
      <c r="D89" s="526">
        <v>1123600.3600000001</v>
      </c>
      <c r="E89" s="558">
        <v>93468.86</v>
      </c>
      <c r="F89" s="558">
        <v>93648.320000000007</v>
      </c>
      <c r="G89" s="558">
        <v>93667.31</v>
      </c>
      <c r="H89" s="558">
        <v>93667.3</v>
      </c>
      <c r="I89" s="680">
        <v>93667.31</v>
      </c>
      <c r="J89" s="558"/>
      <c r="K89" s="559"/>
      <c r="L89" s="560"/>
      <c r="M89" s="560"/>
      <c r="N89" s="538"/>
      <c r="O89" s="556"/>
      <c r="Q89" s="677">
        <f t="shared" si="4"/>
        <v>468119.1</v>
      </c>
      <c r="R89" s="538">
        <f t="shared" si="5"/>
        <v>468119.1</v>
      </c>
    </row>
    <row r="90" spans="1:18" x14ac:dyDescent="0.25">
      <c r="A90" s="524">
        <v>19</v>
      </c>
      <c r="B90" s="525" t="s">
        <v>176</v>
      </c>
      <c r="C90" s="524" t="s">
        <v>206</v>
      </c>
      <c r="D90" s="526">
        <v>3149968.52</v>
      </c>
      <c r="E90" s="558">
        <v>261804.23</v>
      </c>
      <c r="F90" s="558">
        <v>262560.39</v>
      </c>
      <c r="G90" s="558">
        <v>262610.42</v>
      </c>
      <c r="H90" s="558">
        <v>262610.42</v>
      </c>
      <c r="I90" s="680">
        <v>262610.42</v>
      </c>
      <c r="J90" s="558"/>
      <c r="K90" s="559"/>
      <c r="L90" s="560"/>
      <c r="M90" s="560"/>
      <c r="N90" s="538"/>
      <c r="O90" s="556"/>
      <c r="Q90" s="677">
        <f t="shared" si="4"/>
        <v>1312195.8799999999</v>
      </c>
      <c r="R90" s="538">
        <f t="shared" si="5"/>
        <v>1312195.8799999999</v>
      </c>
    </row>
    <row r="91" spans="1:18" x14ac:dyDescent="0.25">
      <c r="A91" s="524">
        <v>20</v>
      </c>
      <c r="B91" s="525" t="s">
        <v>177</v>
      </c>
      <c r="C91" s="524" t="s">
        <v>207</v>
      </c>
      <c r="D91" s="526">
        <v>3267680.47</v>
      </c>
      <c r="E91" s="558">
        <v>271329</v>
      </c>
      <c r="F91" s="558">
        <v>272395.59000000003</v>
      </c>
      <c r="G91" s="558">
        <v>272417.49</v>
      </c>
      <c r="H91" s="558">
        <v>272417.49</v>
      </c>
      <c r="I91" s="680">
        <v>272417.49</v>
      </c>
      <c r="J91" s="558"/>
      <c r="K91" s="559"/>
      <c r="L91" s="560"/>
      <c r="M91" s="560"/>
      <c r="N91" s="538"/>
      <c r="O91" s="556"/>
      <c r="Q91" s="677">
        <f t="shared" si="4"/>
        <v>1360977.06</v>
      </c>
      <c r="R91" s="538">
        <f t="shared" si="5"/>
        <v>1360977.06</v>
      </c>
    </row>
    <row r="92" spans="1:18" x14ac:dyDescent="0.25">
      <c r="A92" s="524">
        <v>21</v>
      </c>
      <c r="B92" s="525" t="s">
        <v>178</v>
      </c>
      <c r="C92" s="524" t="s">
        <v>208</v>
      </c>
      <c r="D92" s="526">
        <v>3244504.85</v>
      </c>
      <c r="E92" s="558">
        <v>269507.71999999997</v>
      </c>
      <c r="F92" s="558">
        <v>270454.28000000003</v>
      </c>
      <c r="G92" s="558">
        <v>270504.44</v>
      </c>
      <c r="H92" s="558">
        <v>270504.44</v>
      </c>
      <c r="I92" s="680">
        <v>270504.44</v>
      </c>
      <c r="J92" s="558"/>
      <c r="K92" s="559"/>
      <c r="L92" s="560"/>
      <c r="M92" s="560"/>
      <c r="N92" s="538"/>
      <c r="O92" s="556"/>
      <c r="Q92" s="677">
        <f t="shared" si="4"/>
        <v>1351475.3199999998</v>
      </c>
      <c r="R92" s="538">
        <f t="shared" si="5"/>
        <v>1351475.3199999998</v>
      </c>
    </row>
    <row r="93" spans="1:18" x14ac:dyDescent="0.25">
      <c r="A93" s="524">
        <v>22</v>
      </c>
      <c r="B93" s="525" t="s">
        <v>179</v>
      </c>
      <c r="C93" s="524" t="s">
        <v>210</v>
      </c>
      <c r="D93" s="526">
        <v>8464587.6199999992</v>
      </c>
      <c r="E93" s="558">
        <v>702850.13</v>
      </c>
      <c r="F93" s="558">
        <v>705612.5</v>
      </c>
      <c r="G93" s="558">
        <v>705634.01</v>
      </c>
      <c r="H93" s="558">
        <v>705634.01</v>
      </c>
      <c r="I93" s="680">
        <v>705634.01</v>
      </c>
      <c r="J93" s="558"/>
      <c r="K93" s="559"/>
      <c r="L93" s="560"/>
      <c r="M93" s="560"/>
      <c r="N93" s="538"/>
      <c r="O93" s="556"/>
      <c r="Q93" s="677">
        <f t="shared" si="4"/>
        <v>3525364.6599999992</v>
      </c>
      <c r="R93" s="538">
        <f t="shared" si="5"/>
        <v>3525364.6599999992</v>
      </c>
    </row>
    <row r="94" spans="1:18" x14ac:dyDescent="0.25">
      <c r="A94" s="524">
        <v>23</v>
      </c>
      <c r="B94" s="525">
        <v>3441</v>
      </c>
      <c r="C94" s="524" t="s">
        <v>228</v>
      </c>
      <c r="D94" s="526">
        <v>4358946.4000000004</v>
      </c>
      <c r="E94" s="558">
        <v>362240.2</v>
      </c>
      <c r="F94" s="558">
        <v>363336.93</v>
      </c>
      <c r="G94" s="558">
        <v>363387.69</v>
      </c>
      <c r="H94" s="558">
        <v>363387.68</v>
      </c>
      <c r="I94" s="680">
        <v>363387.69</v>
      </c>
      <c r="J94" s="558"/>
      <c r="K94" s="559"/>
      <c r="L94" s="560"/>
      <c r="M94" s="560"/>
      <c r="N94" s="538"/>
      <c r="O94" s="556"/>
      <c r="Q94" s="677">
        <f t="shared" si="4"/>
        <v>1815740.19</v>
      </c>
      <c r="R94" s="538">
        <f t="shared" si="5"/>
        <v>1815740.19</v>
      </c>
    </row>
    <row r="95" spans="1:18" x14ac:dyDescent="0.25">
      <c r="A95" s="524">
        <v>24</v>
      </c>
      <c r="B95" s="525">
        <v>3924</v>
      </c>
      <c r="C95" s="524" t="s">
        <v>376</v>
      </c>
      <c r="D95" s="526">
        <v>3864428.6500000004</v>
      </c>
      <c r="E95" s="558">
        <v>321097.51</v>
      </c>
      <c r="F95" s="558">
        <v>322121.01</v>
      </c>
      <c r="G95" s="558">
        <v>322172.34999999998</v>
      </c>
      <c r="H95" s="558">
        <v>322172.34999999998</v>
      </c>
      <c r="I95" s="680">
        <v>322172.36</v>
      </c>
      <c r="J95" s="558"/>
      <c r="K95" s="559"/>
      <c r="L95" s="560"/>
      <c r="M95" s="560"/>
      <c r="N95" s="538"/>
      <c r="O95" s="556"/>
      <c r="Q95" s="677">
        <f t="shared" si="4"/>
        <v>1609735.58</v>
      </c>
      <c r="R95" s="538">
        <f t="shared" si="5"/>
        <v>1609735.58</v>
      </c>
    </row>
    <row r="96" spans="1:18" x14ac:dyDescent="0.25">
      <c r="A96" s="524">
        <v>25</v>
      </c>
      <c r="B96" s="525" t="s">
        <v>180</v>
      </c>
      <c r="C96" s="524" t="s">
        <v>191</v>
      </c>
      <c r="D96" s="526">
        <v>2210934.4499999997</v>
      </c>
      <c r="E96" s="558">
        <v>183588.24</v>
      </c>
      <c r="F96" s="558">
        <v>184304.2</v>
      </c>
      <c r="G96" s="558">
        <v>184326.33</v>
      </c>
      <c r="H96" s="558">
        <v>184326.33</v>
      </c>
      <c r="I96" s="680">
        <v>184326.33</v>
      </c>
      <c r="J96" s="558"/>
      <c r="K96" s="559"/>
      <c r="L96" s="560"/>
      <c r="M96" s="560"/>
      <c r="N96" s="538"/>
      <c r="O96" s="556"/>
      <c r="Q96" s="677">
        <f t="shared" si="4"/>
        <v>920871.42999999993</v>
      </c>
      <c r="R96" s="538">
        <f t="shared" si="5"/>
        <v>920871.42999999993</v>
      </c>
    </row>
    <row r="97" spans="1:18" x14ac:dyDescent="0.25">
      <c r="A97" s="524">
        <v>26</v>
      </c>
      <c r="B97" s="525" t="s">
        <v>181</v>
      </c>
      <c r="C97" s="524" t="s">
        <v>201</v>
      </c>
      <c r="D97" s="526">
        <v>2736635.01</v>
      </c>
      <c r="E97" s="558">
        <v>227226.19</v>
      </c>
      <c r="F97" s="558">
        <v>228128.07</v>
      </c>
      <c r="G97" s="558">
        <v>222052.75</v>
      </c>
      <c r="H97" s="558">
        <v>222052.75</v>
      </c>
      <c r="I97" s="680">
        <v>222052.75</v>
      </c>
      <c r="J97" s="558"/>
      <c r="K97" s="559"/>
      <c r="L97" s="560"/>
      <c r="M97" s="560"/>
      <c r="N97" s="538"/>
      <c r="O97" s="556"/>
      <c r="Q97" s="677">
        <f t="shared" si="4"/>
        <v>1121512.51</v>
      </c>
      <c r="R97" s="538">
        <f t="shared" si="5"/>
        <v>1121512.51</v>
      </c>
    </row>
    <row r="98" spans="1:18" x14ac:dyDescent="0.25">
      <c r="A98" s="524">
        <v>27</v>
      </c>
      <c r="B98" s="525" t="s">
        <v>182</v>
      </c>
      <c r="C98" s="524" t="s">
        <v>341</v>
      </c>
      <c r="D98" s="526">
        <v>5518391.5700000003</v>
      </c>
      <c r="E98" s="558">
        <v>458603.06</v>
      </c>
      <c r="F98" s="558">
        <v>459980.77</v>
      </c>
      <c r="G98" s="558">
        <v>460031.21</v>
      </c>
      <c r="H98" s="558">
        <v>460031.21</v>
      </c>
      <c r="I98" s="680">
        <v>460031.21</v>
      </c>
      <c r="J98" s="558"/>
      <c r="K98" s="559"/>
      <c r="L98" s="560"/>
      <c r="M98" s="560"/>
      <c r="N98" s="538"/>
      <c r="O98" s="556"/>
      <c r="Q98" s="677">
        <f t="shared" si="4"/>
        <v>2298677.46</v>
      </c>
      <c r="R98" s="538">
        <f t="shared" si="5"/>
        <v>2298677.46</v>
      </c>
    </row>
    <row r="99" spans="1:18" x14ac:dyDescent="0.25">
      <c r="A99" s="524">
        <v>28</v>
      </c>
      <c r="B99" s="525" t="s">
        <v>183</v>
      </c>
      <c r="C99" s="524" t="s">
        <v>219</v>
      </c>
      <c r="D99" s="526">
        <v>6039805.7000000002</v>
      </c>
      <c r="E99" s="558">
        <v>501572.04</v>
      </c>
      <c r="F99" s="558">
        <v>503475.79</v>
      </c>
      <c r="G99" s="558">
        <v>503529.61</v>
      </c>
      <c r="H99" s="558">
        <v>503529.6</v>
      </c>
      <c r="I99" s="680">
        <v>503529.61</v>
      </c>
      <c r="J99" s="558"/>
      <c r="K99" s="559"/>
      <c r="L99" s="560"/>
      <c r="M99" s="560"/>
      <c r="N99" s="538"/>
      <c r="O99" s="556"/>
      <c r="Q99" s="677">
        <f t="shared" si="4"/>
        <v>2515636.65</v>
      </c>
      <c r="R99" s="538">
        <f t="shared" si="5"/>
        <v>2515636.65</v>
      </c>
    </row>
    <row r="100" spans="1:18" x14ac:dyDescent="0.25">
      <c r="A100" s="524">
        <v>29</v>
      </c>
      <c r="B100" s="525">
        <v>4002</v>
      </c>
      <c r="C100" s="524" t="s">
        <v>218</v>
      </c>
      <c r="D100" s="526">
        <v>9364415.1300000008</v>
      </c>
      <c r="E100" s="558">
        <v>777532.13</v>
      </c>
      <c r="F100" s="558">
        <v>780625.73</v>
      </c>
      <c r="G100" s="558">
        <v>780680.65</v>
      </c>
      <c r="H100" s="558">
        <v>780680.65</v>
      </c>
      <c r="I100" s="680">
        <v>780680.66</v>
      </c>
      <c r="J100" s="558"/>
      <c r="K100" s="559"/>
      <c r="L100" s="560"/>
      <c r="M100" s="560"/>
      <c r="N100" s="538"/>
      <c r="O100" s="556"/>
      <c r="Q100" s="677">
        <f t="shared" si="4"/>
        <v>3900199.82</v>
      </c>
      <c r="R100" s="538">
        <f t="shared" si="5"/>
        <v>3900199.82</v>
      </c>
    </row>
    <row r="101" spans="1:18" x14ac:dyDescent="0.25">
      <c r="A101" s="524">
        <v>30</v>
      </c>
      <c r="B101" s="525">
        <v>4012</v>
      </c>
      <c r="C101" s="524" t="s">
        <v>221</v>
      </c>
      <c r="D101" s="526">
        <v>5324773.49</v>
      </c>
      <c r="E101" s="558">
        <v>442138</v>
      </c>
      <c r="F101" s="558">
        <v>443875.95</v>
      </c>
      <c r="G101" s="558">
        <v>443896.27</v>
      </c>
      <c r="H101" s="558">
        <v>443896.27</v>
      </c>
      <c r="I101" s="680">
        <v>443896.27</v>
      </c>
      <c r="J101" s="558"/>
      <c r="K101" s="559"/>
      <c r="L101" s="560"/>
      <c r="M101" s="560"/>
      <c r="N101" s="538"/>
      <c r="O101" s="556"/>
      <c r="Q101" s="677">
        <f t="shared" si="4"/>
        <v>2217702.7599999998</v>
      </c>
      <c r="R101" s="538">
        <f t="shared" si="5"/>
        <v>2217702.7599999998</v>
      </c>
    </row>
    <row r="102" spans="1:18" x14ac:dyDescent="0.25">
      <c r="A102" s="524">
        <v>31</v>
      </c>
      <c r="B102" s="525">
        <v>4013</v>
      </c>
      <c r="C102" s="524" t="s">
        <v>223</v>
      </c>
      <c r="D102" s="526">
        <v>7881586.6499999994</v>
      </c>
      <c r="E102" s="558">
        <v>654398.57999999996</v>
      </c>
      <c r="F102" s="558">
        <v>657017.1</v>
      </c>
      <c r="G102" s="558">
        <v>657037.06999999995</v>
      </c>
      <c r="H102" s="558">
        <v>657037.06999999995</v>
      </c>
      <c r="I102" s="680">
        <v>657037.06999999995</v>
      </c>
      <c r="J102" s="558"/>
      <c r="K102" s="559"/>
      <c r="L102" s="560"/>
      <c r="M102" s="560"/>
      <c r="N102" s="538"/>
      <c r="O102" s="556"/>
      <c r="Q102" s="677">
        <f t="shared" si="4"/>
        <v>3282526.8899999997</v>
      </c>
      <c r="R102" s="538">
        <f t="shared" si="5"/>
        <v>3282526.8899999997</v>
      </c>
    </row>
    <row r="103" spans="1:18" x14ac:dyDescent="0.25">
      <c r="A103" s="524">
        <v>32</v>
      </c>
      <c r="B103" s="525">
        <v>4020</v>
      </c>
      <c r="C103" s="524" t="s">
        <v>347</v>
      </c>
      <c r="D103" s="526">
        <v>10221955.630000001</v>
      </c>
      <c r="E103" s="558">
        <v>848921.99</v>
      </c>
      <c r="F103" s="558">
        <v>852093.97</v>
      </c>
      <c r="G103" s="558">
        <v>852147.55</v>
      </c>
      <c r="H103" s="558">
        <v>852147.55</v>
      </c>
      <c r="I103" s="680">
        <v>852147.55</v>
      </c>
      <c r="J103" s="558"/>
      <c r="K103" s="559"/>
      <c r="L103" s="560"/>
      <c r="M103" s="560"/>
      <c r="N103" s="538"/>
      <c r="O103" s="556"/>
      <c r="Q103" s="677">
        <f t="shared" si="4"/>
        <v>4257458.6099999994</v>
      </c>
      <c r="R103" s="538">
        <f t="shared" si="5"/>
        <v>4257458.6099999994</v>
      </c>
    </row>
    <row r="104" spans="1:18" x14ac:dyDescent="0.25">
      <c r="A104" s="524">
        <v>33</v>
      </c>
      <c r="B104" s="525">
        <v>4030</v>
      </c>
      <c r="C104" s="524" t="s">
        <v>335</v>
      </c>
      <c r="D104" s="526">
        <v>2743878.8399999994</v>
      </c>
      <c r="E104" s="558">
        <v>227815.64</v>
      </c>
      <c r="F104" s="558">
        <v>228733.02</v>
      </c>
      <c r="G104" s="558">
        <v>228790.53</v>
      </c>
      <c r="H104" s="558">
        <v>228790.53</v>
      </c>
      <c r="I104" s="680">
        <v>228790.53</v>
      </c>
      <c r="J104" s="558"/>
      <c r="K104" s="559"/>
      <c r="L104" s="560"/>
      <c r="M104" s="560"/>
      <c r="N104" s="538"/>
      <c r="O104" s="556"/>
      <c r="Q104" s="677">
        <f t="shared" si="4"/>
        <v>1142920.25</v>
      </c>
      <c r="R104" s="538">
        <f t="shared" si="5"/>
        <v>1142920.25</v>
      </c>
    </row>
    <row r="105" spans="1:18" x14ac:dyDescent="0.25">
      <c r="A105" s="524">
        <v>34</v>
      </c>
      <c r="B105" s="525">
        <v>4031</v>
      </c>
      <c r="C105" s="524" t="s">
        <v>352</v>
      </c>
      <c r="D105" s="526">
        <v>4523431.59</v>
      </c>
      <c r="E105" s="558">
        <v>375586.71</v>
      </c>
      <c r="F105" s="558">
        <v>377076.81</v>
      </c>
      <c r="G105" s="558">
        <v>377131.17</v>
      </c>
      <c r="H105" s="558">
        <v>377131.17</v>
      </c>
      <c r="I105" s="680">
        <v>377131.18</v>
      </c>
      <c r="J105" s="558"/>
      <c r="K105" s="559"/>
      <c r="L105" s="560"/>
      <c r="M105" s="560"/>
      <c r="N105" s="538"/>
      <c r="O105" s="556"/>
      <c r="Q105" s="677">
        <f t="shared" si="4"/>
        <v>1884057.0399999998</v>
      </c>
      <c r="R105" s="538">
        <f t="shared" si="5"/>
        <v>1884057.0399999998</v>
      </c>
    </row>
    <row r="106" spans="1:18" x14ac:dyDescent="0.25">
      <c r="A106" s="524">
        <v>35</v>
      </c>
      <c r="B106" s="525">
        <v>4041</v>
      </c>
      <c r="C106" s="524" t="s">
        <v>225</v>
      </c>
      <c r="D106" s="526">
        <v>734245.24</v>
      </c>
      <c r="E106" s="558">
        <v>60968.85</v>
      </c>
      <c r="F106" s="558">
        <v>61206.94</v>
      </c>
      <c r="G106" s="558">
        <v>61214.31</v>
      </c>
      <c r="H106" s="558">
        <v>61214.31</v>
      </c>
      <c r="I106" s="680">
        <v>61214.31</v>
      </c>
      <c r="J106" s="558"/>
      <c r="K106" s="559"/>
      <c r="L106" s="560"/>
      <c r="M106" s="560"/>
      <c r="N106" s="538"/>
      <c r="O106" s="556"/>
      <c r="Q106" s="677">
        <f t="shared" si="4"/>
        <v>305818.71999999997</v>
      </c>
      <c r="R106" s="538">
        <f t="shared" si="5"/>
        <v>305818.71999999997</v>
      </c>
    </row>
    <row r="107" spans="1:18" x14ac:dyDescent="0.25">
      <c r="A107" s="524">
        <v>36</v>
      </c>
      <c r="B107" s="525">
        <v>4050</v>
      </c>
      <c r="C107" s="524" t="s">
        <v>216</v>
      </c>
      <c r="D107" s="526">
        <v>6599446.6700000018</v>
      </c>
      <c r="E107" s="558">
        <v>547951.48</v>
      </c>
      <c r="F107" s="558">
        <v>550135.93000000005</v>
      </c>
      <c r="G107" s="558">
        <v>550189.84</v>
      </c>
      <c r="H107" s="558">
        <v>550189.82999999996</v>
      </c>
      <c r="I107" s="680">
        <v>550189.84</v>
      </c>
      <c r="J107" s="558"/>
      <c r="K107" s="559"/>
      <c r="L107" s="560"/>
      <c r="M107" s="560"/>
      <c r="N107" s="538"/>
      <c r="O107" s="556"/>
      <c r="Q107" s="677">
        <f t="shared" si="4"/>
        <v>2748656.92</v>
      </c>
      <c r="R107" s="538">
        <f t="shared" si="5"/>
        <v>2748656.92</v>
      </c>
    </row>
    <row r="108" spans="1:18" x14ac:dyDescent="0.25">
      <c r="A108" s="524">
        <v>37</v>
      </c>
      <c r="B108" s="525">
        <v>4051</v>
      </c>
      <c r="C108" s="524" t="s">
        <v>214</v>
      </c>
      <c r="D108" s="526">
        <v>7242244.5699999994</v>
      </c>
      <c r="E108" s="558">
        <v>601326.9</v>
      </c>
      <c r="F108" s="558">
        <v>603719.79</v>
      </c>
      <c r="G108" s="558">
        <v>603774.15</v>
      </c>
      <c r="H108" s="558">
        <v>603774.14</v>
      </c>
      <c r="I108" s="680">
        <v>603774.15</v>
      </c>
      <c r="J108" s="558"/>
      <c r="K108" s="559"/>
      <c r="L108" s="560"/>
      <c r="M108" s="560"/>
      <c r="N108" s="538"/>
      <c r="O108" s="556"/>
      <c r="Q108" s="677">
        <f t="shared" si="4"/>
        <v>3016369.13</v>
      </c>
      <c r="R108" s="538">
        <f t="shared" si="5"/>
        <v>3016369.13</v>
      </c>
    </row>
    <row r="109" spans="1:18" x14ac:dyDescent="0.25">
      <c r="A109" s="524">
        <v>38</v>
      </c>
      <c r="B109" s="525">
        <v>4061</v>
      </c>
      <c r="C109" s="524" t="s">
        <v>349</v>
      </c>
      <c r="D109" s="526">
        <v>8255108.2299999995</v>
      </c>
      <c r="E109" s="558">
        <v>685584.55</v>
      </c>
      <c r="F109" s="558">
        <v>688138.52</v>
      </c>
      <c r="G109" s="558">
        <v>681940.1</v>
      </c>
      <c r="H109" s="558">
        <v>681940.1</v>
      </c>
      <c r="I109" s="680">
        <v>681940.1</v>
      </c>
      <c r="J109" s="558"/>
      <c r="K109" s="559"/>
      <c r="L109" s="560"/>
      <c r="M109" s="560"/>
      <c r="N109" s="538"/>
      <c r="O109" s="556"/>
      <c r="Q109" s="677">
        <f t="shared" si="4"/>
        <v>3419543.37</v>
      </c>
      <c r="R109" s="538">
        <f t="shared" si="5"/>
        <v>3419543.37</v>
      </c>
    </row>
    <row r="110" spans="1:18" x14ac:dyDescent="0.25">
      <c r="A110" s="524">
        <v>39</v>
      </c>
      <c r="B110" s="525">
        <v>4080</v>
      </c>
      <c r="C110" s="524" t="s">
        <v>237</v>
      </c>
      <c r="D110" s="526">
        <v>2306384.2200000002</v>
      </c>
      <c r="E110" s="558">
        <v>191555.8</v>
      </c>
      <c r="F110" s="558">
        <v>192257.13</v>
      </c>
      <c r="G110" s="558">
        <v>192310.43</v>
      </c>
      <c r="H110" s="558">
        <v>192310.42</v>
      </c>
      <c r="I110" s="680">
        <v>192310.43</v>
      </c>
      <c r="J110" s="558"/>
      <c r="K110" s="559"/>
      <c r="L110" s="560"/>
      <c r="M110" s="560"/>
      <c r="N110" s="538"/>
      <c r="O110" s="556"/>
      <c r="Q110" s="677">
        <f t="shared" si="4"/>
        <v>960744.21</v>
      </c>
      <c r="R110" s="538">
        <f t="shared" si="5"/>
        <v>960744.21</v>
      </c>
    </row>
    <row r="111" spans="1:18" x14ac:dyDescent="0.25">
      <c r="A111" s="524">
        <v>40</v>
      </c>
      <c r="B111" s="525">
        <v>4081</v>
      </c>
      <c r="C111" s="524" t="s">
        <v>234</v>
      </c>
      <c r="D111" s="526">
        <v>972278.55999999994</v>
      </c>
      <c r="E111" s="558">
        <v>80762.73</v>
      </c>
      <c r="F111" s="558">
        <v>81046.89</v>
      </c>
      <c r="G111" s="558">
        <v>81071.899999999994</v>
      </c>
      <c r="H111" s="558">
        <v>81071.899999999994</v>
      </c>
      <c r="I111" s="680">
        <v>81071.899999999994</v>
      </c>
      <c r="J111" s="558"/>
      <c r="K111" s="559"/>
      <c r="L111" s="560"/>
      <c r="M111" s="560"/>
      <c r="N111" s="538"/>
      <c r="O111" s="556"/>
      <c r="Q111" s="677">
        <f t="shared" si="4"/>
        <v>405025.31999999995</v>
      </c>
      <c r="R111" s="538">
        <f t="shared" si="5"/>
        <v>405025.31999999995</v>
      </c>
    </row>
    <row r="112" spans="1:18" x14ac:dyDescent="0.25">
      <c r="A112" s="524">
        <v>41</v>
      </c>
      <c r="B112" s="525">
        <v>4090</v>
      </c>
      <c r="C112" s="524" t="s">
        <v>297</v>
      </c>
      <c r="D112" s="526">
        <v>2702619.96</v>
      </c>
      <c r="E112" s="558">
        <v>224404.48000000001</v>
      </c>
      <c r="F112" s="558">
        <v>225292.32</v>
      </c>
      <c r="G112" s="558">
        <v>225343.81</v>
      </c>
      <c r="H112" s="558">
        <v>225343.81</v>
      </c>
      <c r="I112" s="680">
        <v>225343.81</v>
      </c>
      <c r="J112" s="558"/>
      <c r="K112" s="559"/>
      <c r="L112" s="560"/>
      <c r="M112" s="560"/>
      <c r="N112" s="538"/>
      <c r="O112" s="556"/>
      <c r="Q112" s="677">
        <f t="shared" si="4"/>
        <v>1125728.2300000002</v>
      </c>
      <c r="R112" s="538">
        <f t="shared" si="5"/>
        <v>1125728.2300000002</v>
      </c>
    </row>
    <row r="113" spans="1:18" x14ac:dyDescent="0.25">
      <c r="A113" s="524">
        <v>42</v>
      </c>
      <c r="B113" s="525">
        <v>4091</v>
      </c>
      <c r="C113" s="524" t="s">
        <v>275</v>
      </c>
      <c r="D113" s="526">
        <v>3606721.18</v>
      </c>
      <c r="E113" s="558">
        <v>299464.48</v>
      </c>
      <c r="F113" s="558">
        <v>300659.7</v>
      </c>
      <c r="G113" s="558">
        <v>300715.7</v>
      </c>
      <c r="H113" s="558">
        <v>300715.7</v>
      </c>
      <c r="I113" s="680">
        <v>300715.7</v>
      </c>
      <c r="J113" s="558"/>
      <c r="K113" s="559"/>
      <c r="L113" s="560"/>
      <c r="M113" s="560"/>
      <c r="N113" s="538"/>
      <c r="O113" s="556"/>
      <c r="Q113" s="677">
        <f t="shared" si="4"/>
        <v>1502271.2799999998</v>
      </c>
      <c r="R113" s="538">
        <f t="shared" si="5"/>
        <v>1502271.2799999998</v>
      </c>
    </row>
    <row r="114" spans="1:18" x14ac:dyDescent="0.25">
      <c r="A114" s="524">
        <v>43</v>
      </c>
      <c r="B114" s="525">
        <v>4100</v>
      </c>
      <c r="C114" s="524" t="s">
        <v>298</v>
      </c>
      <c r="D114" s="526">
        <v>3224376.77</v>
      </c>
      <c r="E114" s="558">
        <v>267680.53000000003</v>
      </c>
      <c r="F114" s="558">
        <v>268790.57</v>
      </c>
      <c r="G114" s="558">
        <v>268808.69</v>
      </c>
      <c r="H114" s="558">
        <v>268808.69</v>
      </c>
      <c r="I114" s="680">
        <v>268808.69</v>
      </c>
      <c r="J114" s="558"/>
      <c r="K114" s="559"/>
      <c r="L114" s="560"/>
      <c r="M114" s="560"/>
      <c r="N114" s="538"/>
      <c r="O114" s="556"/>
      <c r="Q114" s="677">
        <f t="shared" si="4"/>
        <v>1342897.17</v>
      </c>
      <c r="R114" s="538">
        <f t="shared" si="5"/>
        <v>1342897.17</v>
      </c>
    </row>
    <row r="115" spans="1:18" x14ac:dyDescent="0.25">
      <c r="A115" s="524">
        <v>44</v>
      </c>
      <c r="B115" s="525">
        <v>4102</v>
      </c>
      <c r="C115" s="524" t="s">
        <v>299</v>
      </c>
      <c r="D115" s="526">
        <v>1010597.4900000001</v>
      </c>
      <c r="E115" s="558">
        <v>0</v>
      </c>
      <c r="F115" s="558">
        <v>0</v>
      </c>
      <c r="G115" s="558">
        <v>0</v>
      </c>
      <c r="H115" s="558">
        <v>0</v>
      </c>
      <c r="I115" s="680">
        <v>0</v>
      </c>
      <c r="J115" s="558"/>
      <c r="K115" s="559"/>
      <c r="L115" s="560"/>
      <c r="M115" s="560"/>
      <c r="N115" s="538"/>
      <c r="O115" s="556"/>
      <c r="Q115" s="566"/>
      <c r="R115" s="538">
        <f t="shared" si="5"/>
        <v>0</v>
      </c>
    </row>
    <row r="116" spans="1:18" x14ac:dyDescent="0.25">
      <c r="A116" s="524">
        <v>45</v>
      </c>
      <c r="B116" s="525">
        <v>4103</v>
      </c>
      <c r="C116" s="524" t="s">
        <v>324</v>
      </c>
      <c r="D116" s="526">
        <v>8473244.9000000022</v>
      </c>
      <c r="E116" s="558">
        <v>703538.19</v>
      </c>
      <c r="F116" s="558">
        <v>706336.97</v>
      </c>
      <c r="G116" s="558">
        <v>706388.95</v>
      </c>
      <c r="H116" s="558">
        <v>706388.94</v>
      </c>
      <c r="I116" s="680">
        <v>706388.95</v>
      </c>
      <c r="J116" s="558"/>
      <c r="K116" s="559"/>
      <c r="L116" s="560"/>
      <c r="M116" s="560"/>
      <c r="N116" s="538"/>
      <c r="O116" s="556"/>
      <c r="Q116" s="527">
        <f t="shared" ref="Q116:Q118" si="6">SUM(E116:P116)</f>
        <v>3529042</v>
      </c>
      <c r="R116" s="538">
        <f t="shared" si="5"/>
        <v>3529042</v>
      </c>
    </row>
    <row r="117" spans="1:18" x14ac:dyDescent="0.25">
      <c r="A117" s="524">
        <v>46</v>
      </c>
      <c r="B117" s="525">
        <v>4111</v>
      </c>
      <c r="C117" s="524" t="s">
        <v>342</v>
      </c>
      <c r="D117" s="526">
        <v>2433286.09</v>
      </c>
      <c r="E117" s="558">
        <v>202038.36</v>
      </c>
      <c r="F117" s="558">
        <v>202840.7</v>
      </c>
      <c r="G117" s="558">
        <v>202891.8</v>
      </c>
      <c r="H117" s="558">
        <v>202891.8</v>
      </c>
      <c r="I117" s="680">
        <v>202891.8</v>
      </c>
      <c r="J117" s="558"/>
      <c r="K117" s="559"/>
      <c r="L117" s="560"/>
      <c r="M117" s="560"/>
      <c r="N117" s="538"/>
      <c r="O117" s="556"/>
      <c r="Q117" s="527">
        <f t="shared" si="6"/>
        <v>1013554.46</v>
      </c>
      <c r="R117" s="538">
        <f t="shared" si="5"/>
        <v>1013554.46</v>
      </c>
    </row>
    <row r="118" spans="1:18" x14ac:dyDescent="0.25">
      <c r="A118" s="524">
        <v>47</v>
      </c>
      <c r="B118" s="525">
        <v>4131</v>
      </c>
      <c r="C118" s="524" t="s">
        <v>374</v>
      </c>
      <c r="D118" s="526">
        <v>533527.24000000011</v>
      </c>
      <c r="E118" s="558">
        <v>44299.33</v>
      </c>
      <c r="F118" s="558">
        <v>44475.26</v>
      </c>
      <c r="G118" s="558">
        <v>44489.32</v>
      </c>
      <c r="H118" s="558">
        <v>44489.32</v>
      </c>
      <c r="I118" s="680">
        <v>44489.32</v>
      </c>
      <c r="J118" s="558"/>
      <c r="K118" s="559"/>
      <c r="L118" s="560"/>
      <c r="M118" s="560"/>
      <c r="N118" s="538"/>
      <c r="O118" s="556"/>
      <c r="Q118" s="527">
        <f t="shared" si="6"/>
        <v>222242.55000000002</v>
      </c>
      <c r="R118" s="538">
        <f>SUM(E118:M118)</f>
        <v>222242.55000000002</v>
      </c>
    </row>
    <row r="120" spans="1:18" x14ac:dyDescent="0.25">
      <c r="D120" s="526">
        <f>SUM(D72:D119)</f>
        <v>205901433.20000005</v>
      </c>
      <c r="E120" s="526">
        <f t="shared" ref="E120:P120" si="7">SUM(E72:E119)</f>
        <v>17016582.480000004</v>
      </c>
      <c r="F120" s="526">
        <f t="shared" si="7"/>
        <v>17079477.580000002</v>
      </c>
      <c r="G120" s="526">
        <f t="shared" si="7"/>
        <v>17074744.390000001</v>
      </c>
      <c r="H120" s="526">
        <f>SUM(H70:H119)</f>
        <v>17123232.370000001</v>
      </c>
      <c r="I120" s="526">
        <f>SUM(I70:I119)</f>
        <v>17123225.07</v>
      </c>
      <c r="J120" s="526">
        <f t="shared" si="7"/>
        <v>0</v>
      </c>
      <c r="K120" s="539">
        <f t="shared" si="7"/>
        <v>0</v>
      </c>
      <c r="L120" s="526">
        <f t="shared" si="7"/>
        <v>0</v>
      </c>
      <c r="M120" s="526">
        <f t="shared" si="7"/>
        <v>0</v>
      </c>
      <c r="N120" s="526">
        <f t="shared" si="7"/>
        <v>0</v>
      </c>
      <c r="O120" s="526">
        <f t="shared" si="7"/>
        <v>0</v>
      </c>
      <c r="P120" s="526">
        <f t="shared" si="7"/>
        <v>0</v>
      </c>
      <c r="Q120" s="526">
        <f>SUM(Q70:Q119)</f>
        <v>85417261.889999971</v>
      </c>
      <c r="R120" s="526">
        <f>SUM(R70:R119)</f>
        <v>85417261.889999971</v>
      </c>
    </row>
    <row r="122" spans="1:18" x14ac:dyDescent="0.25">
      <c r="E122" s="526">
        <f>E55-E120</f>
        <v>0</v>
      </c>
    </row>
    <row r="123" spans="1:18" x14ac:dyDescent="0.25">
      <c r="E123" s="528"/>
    </row>
  </sheetData>
  <pageMargins left="0.7" right="0.7" top="0.75" bottom="0.75" header="0.3" footer="0.3"/>
  <pageSetup scale="35" fitToHeight="0" orientation="landscape" r:id="rId1"/>
  <ignoredErrors>
    <ignoredError sqref="Q8:Q18 R73:R114 Q116:R118 R115 Q20:Q52"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9">
    <tabColor rgb="FFFFCCCC"/>
  </sheetPr>
  <dimension ref="A1:V221"/>
  <sheetViews>
    <sheetView topLeftCell="A25" workbookViewId="0">
      <selection activeCell="C57" sqref="C57:C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265</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1.5</v>
      </c>
      <c r="D15" s="143">
        <v>0</v>
      </c>
      <c r="E15" s="116">
        <f t="shared" ref="E15:E29" si="1">IF(D$30=0,C15*2,C15+D15)</f>
        <v>3</v>
      </c>
      <c r="F15" s="788">
        <f>'1461'!F15:G15</f>
        <v>1.1180000000000001</v>
      </c>
      <c r="G15" s="788"/>
      <c r="H15" s="80">
        <f t="shared" ref="H15:H29" si="2">ROUND(E15*F15,4)</f>
        <v>3.3540000000000001</v>
      </c>
      <c r="I15" s="101">
        <f t="shared" ref="I15:I29" si="3">ROUND(ROUND(ROUND(H15*$C$8,4)*($H$8),2)*(MAX($H$9,1)),2)</f>
        <v>18609.62</v>
      </c>
      <c r="J15" s="65" t="str">
        <f>IF(ROUND(E15,2)=ROUND(SUM(E57:E59),2)," ","CHECK PK-3 LINES BELOW")</f>
        <v xml:space="preserve"> </v>
      </c>
      <c r="N15" s="747" t="s">
        <v>21</v>
      </c>
      <c r="O15" s="747"/>
      <c r="P15" s="789">
        <f t="shared" si="0"/>
        <v>3</v>
      </c>
      <c r="Q15" s="789"/>
      <c r="R15" s="793">
        <v>1</v>
      </c>
      <c r="S15" s="793"/>
      <c r="T15" s="95">
        <f t="shared" ref="T15:T29" si="4">ROUND(P15*R15,4)</f>
        <v>3</v>
      </c>
      <c r="U15" s="492">
        <f t="shared" ref="U15:U29" si="5">ROUND(ROUND(ROUND(T15*$C$8,4)*($H$8),2)*(MAX($H$9,1)),2)</f>
        <v>16645.45</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1</v>
      </c>
      <c r="D17" s="143">
        <v>0</v>
      </c>
      <c r="E17" s="116">
        <f t="shared" si="1"/>
        <v>2</v>
      </c>
      <c r="F17" s="788">
        <f>'1461'!F17:G17</f>
        <v>1</v>
      </c>
      <c r="G17" s="788"/>
      <c r="H17" s="80">
        <f t="shared" si="2"/>
        <v>2</v>
      </c>
      <c r="I17" s="101">
        <f t="shared" si="3"/>
        <v>11096.97</v>
      </c>
      <c r="J17" s="65" t="str">
        <f>IF(ROUND(E17,2)=ROUND(SUM(E60:E62),2)," ","CHECK 4-8 LINES BELOW")</f>
        <v xml:space="preserve"> </v>
      </c>
      <c r="N17" s="747" t="s">
        <v>23</v>
      </c>
      <c r="O17" s="747"/>
      <c r="P17" s="789">
        <f t="shared" si="0"/>
        <v>2</v>
      </c>
      <c r="Q17" s="789"/>
      <c r="R17" s="793">
        <v>1</v>
      </c>
      <c r="S17" s="793"/>
      <c r="T17" s="95">
        <f t="shared" si="4"/>
        <v>2</v>
      </c>
      <c r="U17" s="492">
        <f t="shared" si="5"/>
        <v>11096.97</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13</v>
      </c>
      <c r="D20" s="143">
        <v>0</v>
      </c>
      <c r="E20" s="116">
        <f t="shared" si="1"/>
        <v>26</v>
      </c>
      <c r="F20" s="788">
        <f>'1461'!F20:G20</f>
        <v>3.6970000000000001</v>
      </c>
      <c r="G20" s="788"/>
      <c r="H20" s="80">
        <f t="shared" si="2"/>
        <v>96.122</v>
      </c>
      <c r="I20" s="101">
        <f t="shared" si="3"/>
        <v>533331.38</v>
      </c>
      <c r="N20" s="747" t="s">
        <v>79</v>
      </c>
      <c r="O20" s="747"/>
      <c r="P20" s="789">
        <f t="shared" si="0"/>
        <v>26</v>
      </c>
      <c r="Q20" s="789"/>
      <c r="R20" s="793">
        <v>1</v>
      </c>
      <c r="S20" s="793"/>
      <c r="T20" s="95">
        <f t="shared" si="4"/>
        <v>26</v>
      </c>
      <c r="U20" s="492">
        <f t="shared" si="5"/>
        <v>144260.57999999999</v>
      </c>
    </row>
    <row r="21" spans="1:21" x14ac:dyDescent="0.25">
      <c r="A21" s="705" t="s">
        <v>80</v>
      </c>
      <c r="B21" s="705"/>
      <c r="C21" s="143">
        <v>7</v>
      </c>
      <c r="D21" s="143">
        <v>0</v>
      </c>
      <c r="E21" s="116">
        <f t="shared" si="1"/>
        <v>14</v>
      </c>
      <c r="F21" s="788">
        <f>'1461'!F21:G21</f>
        <v>3.6970000000000001</v>
      </c>
      <c r="G21" s="788"/>
      <c r="H21" s="80">
        <f t="shared" si="2"/>
        <v>51.758000000000003</v>
      </c>
      <c r="I21" s="101">
        <f t="shared" si="3"/>
        <v>287178.43</v>
      </c>
      <c r="N21" s="747" t="s">
        <v>80</v>
      </c>
      <c r="O21" s="747"/>
      <c r="P21" s="789">
        <f t="shared" si="0"/>
        <v>14</v>
      </c>
      <c r="Q21" s="789"/>
      <c r="R21" s="793">
        <v>1</v>
      </c>
      <c r="S21" s="793"/>
      <c r="T21" s="95">
        <f t="shared" si="4"/>
        <v>14</v>
      </c>
      <c r="U21" s="492">
        <f t="shared" si="5"/>
        <v>77678.78</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12</v>
      </c>
      <c r="D23" s="143">
        <v>0</v>
      </c>
      <c r="E23" s="116">
        <f t="shared" si="1"/>
        <v>24</v>
      </c>
      <c r="F23" s="788">
        <f>'1461'!F23:G23</f>
        <v>5.992</v>
      </c>
      <c r="G23" s="788"/>
      <c r="H23" s="80">
        <f t="shared" si="2"/>
        <v>143.80799999999999</v>
      </c>
      <c r="I23" s="101">
        <f t="shared" si="3"/>
        <v>797916.38</v>
      </c>
      <c r="N23" s="747" t="s">
        <v>82</v>
      </c>
      <c r="O23" s="747"/>
      <c r="P23" s="789">
        <f t="shared" si="0"/>
        <v>24</v>
      </c>
      <c r="Q23" s="789"/>
      <c r="R23" s="793">
        <v>1</v>
      </c>
      <c r="S23" s="793"/>
      <c r="T23" s="95">
        <f t="shared" si="4"/>
        <v>24</v>
      </c>
      <c r="U23" s="492">
        <f t="shared" si="5"/>
        <v>133163.62</v>
      </c>
    </row>
    <row r="24" spans="1:21" x14ac:dyDescent="0.25">
      <c r="A24" s="705" t="s">
        <v>83</v>
      </c>
      <c r="B24" s="705"/>
      <c r="C24" s="143">
        <v>11.5</v>
      </c>
      <c r="D24" s="143">
        <v>0</v>
      </c>
      <c r="E24" s="116">
        <f t="shared" si="1"/>
        <v>23</v>
      </c>
      <c r="F24" s="788">
        <f>'1461'!F24:G24</f>
        <v>5.992</v>
      </c>
      <c r="G24" s="788"/>
      <c r="H24" s="80">
        <f t="shared" si="2"/>
        <v>137.816</v>
      </c>
      <c r="I24" s="101">
        <f t="shared" si="3"/>
        <v>764669.87</v>
      </c>
      <c r="N24" s="747" t="s">
        <v>83</v>
      </c>
      <c r="O24" s="747"/>
      <c r="P24" s="789">
        <f t="shared" si="0"/>
        <v>23</v>
      </c>
      <c r="Q24" s="789"/>
      <c r="R24" s="793">
        <v>1</v>
      </c>
      <c r="S24" s="793"/>
      <c r="T24" s="95">
        <f t="shared" si="4"/>
        <v>23</v>
      </c>
      <c r="U24" s="492">
        <f t="shared" si="5"/>
        <v>127615.13</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46</v>
      </c>
      <c r="D30" s="94">
        <f>SUM(D14:D29)</f>
        <v>0</v>
      </c>
      <c r="E30" s="94">
        <f>SUM(E14:E29)</f>
        <v>92</v>
      </c>
      <c r="F30" s="724"/>
      <c r="G30" s="724"/>
      <c r="H30" s="99">
        <f>SUM(H14:H29)</f>
        <v>434.85800000000006</v>
      </c>
      <c r="I30" s="94">
        <f>SUM(I14:I29)</f>
        <v>2412802.65</v>
      </c>
      <c r="N30" s="791" t="s">
        <v>5</v>
      </c>
      <c r="O30" s="791"/>
      <c r="P30" s="792">
        <f>SUM(P14:P29)</f>
        <v>92</v>
      </c>
      <c r="Q30" s="792"/>
      <c r="R30" s="781"/>
      <c r="S30" s="781"/>
      <c r="T30" s="100">
        <f>SUM(T14:T29)</f>
        <v>92</v>
      </c>
      <c r="U30" s="492">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76" t="s">
        <v>44</v>
      </c>
      <c r="O46" s="776"/>
      <c r="P46" s="776"/>
      <c r="Q46" s="776"/>
      <c r="R46" s="35">
        <f>R44+T30</f>
        <v>92</v>
      </c>
      <c r="S46" s="781" t="s">
        <v>42</v>
      </c>
      <c r="T46" s="781"/>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2329819.5099999998</v>
      </c>
      <c r="G51" s="109" t="s">
        <v>6</v>
      </c>
      <c r="H51" s="420">
        <v>5.5899999999999998E-2</v>
      </c>
      <c r="I51" s="101">
        <f>ROUND(F51*H51,2)</f>
        <v>130236.91</v>
      </c>
      <c r="N51" s="425"/>
      <c r="O51" s="426" t="s">
        <v>527</v>
      </c>
      <c r="P51" s="28"/>
      <c r="Q51" s="44" t="s">
        <v>417</v>
      </c>
      <c r="R51" s="427">
        <f>U30</f>
        <v>510460.53</v>
      </c>
      <c r="S51" s="428" t="s">
        <v>6</v>
      </c>
      <c r="T51" s="429">
        <v>5.5899999999999998E-2</v>
      </c>
      <c r="U51" s="421">
        <f>ROUND(R51*T51,2)</f>
        <v>28534.74</v>
      </c>
    </row>
    <row r="52" spans="1:22" x14ac:dyDescent="0.25">
      <c r="A52" s="26"/>
      <c r="B52" s="578" t="s">
        <v>532</v>
      </c>
      <c r="C52" s="26"/>
      <c r="D52" s="26"/>
      <c r="E52" s="43" t="s">
        <v>417</v>
      </c>
      <c r="F52" s="419">
        <v>2329819.5099999998</v>
      </c>
      <c r="G52" s="109" t="s">
        <v>6</v>
      </c>
      <c r="H52" s="420">
        <v>1.0699999999999999E-2</v>
      </c>
      <c r="I52" s="101">
        <f>ROUND(F52*H52,2)</f>
        <v>24929.07</v>
      </c>
      <c r="N52" s="28"/>
      <c r="O52" s="579" t="s">
        <v>531</v>
      </c>
      <c r="P52" s="28"/>
      <c r="Q52" s="44" t="s">
        <v>417</v>
      </c>
      <c r="R52" s="427">
        <f>U30</f>
        <v>510460.53</v>
      </c>
      <c r="S52" s="428" t="s">
        <v>6</v>
      </c>
      <c r="T52" s="429">
        <v>1.0699999999999999E-2</v>
      </c>
      <c r="U52" s="430">
        <f>ROUND(R52*T52,2)</f>
        <v>5461.93</v>
      </c>
    </row>
    <row r="53" spans="1:22" x14ac:dyDescent="0.25">
      <c r="A53" s="26"/>
      <c r="B53" s="81" t="s">
        <v>418</v>
      </c>
      <c r="C53" s="26"/>
      <c r="D53" s="26"/>
      <c r="E53" s="43"/>
      <c r="F53" s="419"/>
      <c r="G53" s="109"/>
      <c r="H53" s="420"/>
      <c r="I53" s="97">
        <f>SUM(I51:I52)</f>
        <v>155165.98000000001</v>
      </c>
      <c r="N53" s="28"/>
      <c r="O53" s="402" t="s">
        <v>418</v>
      </c>
      <c r="P53" s="28"/>
      <c r="Q53" s="44"/>
      <c r="R53" s="427"/>
      <c r="S53" s="428"/>
      <c r="T53" s="429"/>
      <c r="U53" s="421">
        <f>SUM(U51:U52)</f>
        <v>33996.67</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1.5</v>
      </c>
      <c r="D59" s="143">
        <v>0</v>
      </c>
      <c r="E59" s="116">
        <f t="shared" si="10"/>
        <v>3</v>
      </c>
      <c r="F59" s="462" t="s">
        <v>455</v>
      </c>
      <c r="G59" s="462">
        <v>253</v>
      </c>
      <c r="H59" s="476">
        <f>'1461'!H59</f>
        <v>6896</v>
      </c>
      <c r="I59" s="101">
        <f t="shared" si="11"/>
        <v>20688</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1</v>
      </c>
      <c r="D62" s="143">
        <v>0</v>
      </c>
      <c r="E62" s="116">
        <f t="shared" si="10"/>
        <v>2</v>
      </c>
      <c r="F62" s="463" t="s">
        <v>13</v>
      </c>
      <c r="G62" s="462">
        <v>253</v>
      </c>
      <c r="H62" s="476">
        <f>'1461'!H62</f>
        <v>7023</v>
      </c>
      <c r="I62" s="101">
        <f t="shared" si="11"/>
        <v>14046</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2.5</v>
      </c>
      <c r="D66" s="97">
        <f>SUM(D57:D65)</f>
        <v>0</v>
      </c>
      <c r="E66" s="97">
        <f>SUM(E57:E65)</f>
        <v>5</v>
      </c>
      <c r="F66" s="708" t="s">
        <v>464</v>
      </c>
      <c r="G66" s="708"/>
      <c r="H66" s="708"/>
      <c r="I66" s="97">
        <f>SUM(I57:I65)</f>
        <v>34734</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92</v>
      </c>
      <c r="D69" s="718" t="s">
        <v>430</v>
      </c>
      <c r="E69" s="718"/>
      <c r="F69" s="718"/>
      <c r="G69" s="718"/>
      <c r="H69" s="299">
        <f>'1461'!H69</f>
        <v>210228.91</v>
      </c>
      <c r="I69" s="113"/>
      <c r="N69" s="746" t="s">
        <v>423</v>
      </c>
      <c r="O69" s="747"/>
      <c r="P69" s="41">
        <f>P30</f>
        <v>92</v>
      </c>
      <c r="Q69" s="771" t="s">
        <v>425</v>
      </c>
      <c r="R69" s="772"/>
      <c r="S69" s="772"/>
      <c r="T69" s="760">
        <f>H69</f>
        <v>210228.91</v>
      </c>
      <c r="U69" s="760"/>
    </row>
    <row r="70" spans="1:22" x14ac:dyDescent="0.25">
      <c r="B70" s="69"/>
      <c r="G70" s="42" t="s">
        <v>12</v>
      </c>
      <c r="H70" s="114">
        <f>ROUND(C69/H69,6)</f>
        <v>4.3800000000000002E-4</v>
      </c>
      <c r="I70" s="115"/>
      <c r="N70" s="747"/>
      <c r="O70" s="747"/>
      <c r="P70" s="747"/>
      <c r="Q70" s="747"/>
      <c r="R70" s="747"/>
      <c r="S70" s="747"/>
      <c r="T70" s="765">
        <f>ROUND(P69/T69,6)</f>
        <v>4.3800000000000002E-4</v>
      </c>
      <c r="U70" s="765"/>
    </row>
    <row r="71" spans="1:22" x14ac:dyDescent="0.25">
      <c r="A71" s="461" t="s">
        <v>467</v>
      </c>
      <c r="N71" s="472" t="s">
        <v>475</v>
      </c>
      <c r="O71" s="51"/>
      <c r="P71" s="51"/>
      <c r="Q71" s="51"/>
      <c r="R71" s="51"/>
      <c r="S71" s="51"/>
      <c r="T71" s="51"/>
      <c r="U71" s="51"/>
    </row>
    <row r="72" spans="1:22" x14ac:dyDescent="0.25">
      <c r="A72" s="704" t="s">
        <v>420</v>
      </c>
      <c r="B72" s="705"/>
      <c r="C72" s="112">
        <f>H30</f>
        <v>434.85800000000006</v>
      </c>
      <c r="D72" s="718" t="s">
        <v>431</v>
      </c>
      <c r="E72" s="718"/>
      <c r="F72" s="718"/>
      <c r="G72" s="718"/>
      <c r="H72" s="300">
        <f>'1461'!H72</f>
        <v>234891.44</v>
      </c>
      <c r="I72" s="116"/>
      <c r="N72" s="746" t="s">
        <v>424</v>
      </c>
      <c r="O72" s="747"/>
      <c r="P72" s="41">
        <f>T30</f>
        <v>92</v>
      </c>
      <c r="Q72" s="771" t="s">
        <v>426</v>
      </c>
      <c r="R72" s="772"/>
      <c r="S72" s="772"/>
      <c r="T72" s="760">
        <f>H72</f>
        <v>234891.44</v>
      </c>
      <c r="U72" s="760"/>
    </row>
    <row r="73" spans="1:22" x14ac:dyDescent="0.25">
      <c r="G73" s="42" t="s">
        <v>12</v>
      </c>
      <c r="H73" s="114">
        <f>ROUND(C72/H72,6)</f>
        <v>1.851E-3</v>
      </c>
      <c r="I73" s="114"/>
      <c r="N73" s="747"/>
      <c r="O73" s="747"/>
      <c r="P73" s="747"/>
      <c r="Q73" s="747"/>
      <c r="R73" s="747"/>
      <c r="S73" s="747"/>
      <c r="T73" s="765">
        <f>ROUND(P72/T72,6)</f>
        <v>3.9199999999999999E-4</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92</v>
      </c>
      <c r="D75" s="717" t="s">
        <v>432</v>
      </c>
      <c r="E75" s="717"/>
      <c r="F75" s="717"/>
      <c r="G75" s="717"/>
      <c r="H75" s="299">
        <f>'1461'!H75</f>
        <v>187665.41</v>
      </c>
      <c r="I75" s="113"/>
      <c r="N75" s="746" t="s">
        <v>422</v>
      </c>
      <c r="O75" s="747"/>
      <c r="P75" s="41">
        <f>P30</f>
        <v>92</v>
      </c>
      <c r="Q75" s="767" t="s">
        <v>427</v>
      </c>
      <c r="R75" s="768"/>
      <c r="S75" s="768"/>
      <c r="T75" s="760">
        <f>H75</f>
        <v>187665.41</v>
      </c>
      <c r="U75" s="760"/>
    </row>
    <row r="76" spans="1:22" x14ac:dyDescent="0.25">
      <c r="B76" s="69"/>
      <c r="G76" s="42" t="s">
        <v>12</v>
      </c>
      <c r="H76" s="114">
        <f>ROUND(C75/H75,6)</f>
        <v>4.8999999999999998E-4</v>
      </c>
      <c r="I76" s="115"/>
      <c r="N76" s="747"/>
      <c r="O76" s="747"/>
      <c r="P76" s="747"/>
      <c r="Q76" s="747"/>
      <c r="R76" s="747"/>
      <c r="S76" s="747"/>
      <c r="T76" s="765">
        <f>ROUND(P75/T75,6)</f>
        <v>4.8999999999999998E-4</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92</v>
      </c>
      <c r="D78" s="713" t="s">
        <v>433</v>
      </c>
      <c r="E78" s="713"/>
      <c r="F78" s="713"/>
      <c r="G78" s="713"/>
      <c r="H78" s="299">
        <f>'1461'!H78</f>
        <v>209892.26</v>
      </c>
      <c r="I78" s="113"/>
      <c r="N78" s="746" t="s">
        <v>422</v>
      </c>
      <c r="O78" s="747"/>
      <c r="P78" s="41">
        <f>P30</f>
        <v>92</v>
      </c>
      <c r="Q78" s="769" t="s">
        <v>428</v>
      </c>
      <c r="R78" s="770"/>
      <c r="S78" s="770"/>
      <c r="T78" s="760">
        <f>H78</f>
        <v>209892.26</v>
      </c>
      <c r="U78" s="760"/>
    </row>
    <row r="79" spans="1:22" x14ac:dyDescent="0.25">
      <c r="B79" s="69"/>
      <c r="G79" s="42" t="s">
        <v>12</v>
      </c>
      <c r="H79" s="114">
        <f>ROUND(C78/H78,6)</f>
        <v>4.3800000000000002E-4</v>
      </c>
      <c r="I79" s="115"/>
      <c r="N79" s="747"/>
      <c r="O79" s="747"/>
      <c r="P79" s="747"/>
      <c r="Q79" s="747"/>
      <c r="R79" s="747"/>
      <c r="S79" s="747"/>
      <c r="T79" s="765">
        <f>ROUND(P78/T78,6)</f>
        <v>4.3800000000000002E-4</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92</v>
      </c>
      <c r="D81" s="717" t="s">
        <v>434</v>
      </c>
      <c r="E81" s="717"/>
      <c r="F81" s="717"/>
      <c r="G81" s="717"/>
      <c r="H81" s="299">
        <f>'1461'!H81</f>
        <v>187328.76</v>
      </c>
      <c r="I81" s="113"/>
      <c r="N81" s="746" t="s">
        <v>435</v>
      </c>
      <c r="O81" s="747"/>
      <c r="P81" s="41">
        <f>P30</f>
        <v>92</v>
      </c>
      <c r="Q81" s="767" t="s">
        <v>436</v>
      </c>
      <c r="R81" s="768"/>
      <c r="S81" s="768"/>
      <c r="T81" s="760">
        <f>H81</f>
        <v>187328.76</v>
      </c>
      <c r="U81" s="760"/>
    </row>
    <row r="82" spans="1:21" x14ac:dyDescent="0.25">
      <c r="B82" s="69"/>
      <c r="G82" s="42" t="s">
        <v>12</v>
      </c>
      <c r="H82" s="114">
        <f>ROUND(C81/H81,6)</f>
        <v>4.9100000000000001E-4</v>
      </c>
      <c r="I82" s="115"/>
      <c r="N82" s="747"/>
      <c r="O82" s="747"/>
      <c r="P82" s="747"/>
      <c r="Q82" s="747"/>
      <c r="R82" s="747"/>
      <c r="S82" s="747"/>
      <c r="T82" s="765">
        <f>ROUND(P81/T81,6)</f>
        <v>4.9100000000000001E-4</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4.3800000000000002E-4</v>
      </c>
      <c r="I85" s="101">
        <f>ROUND(F85*H85,2)</f>
        <v>20219.7</v>
      </c>
      <c r="N85" s="472" t="s">
        <v>471</v>
      </c>
      <c r="O85" s="51"/>
      <c r="P85" s="51"/>
      <c r="Q85" s="44"/>
      <c r="R85" s="438">
        <f>F85</f>
        <v>46163704</v>
      </c>
      <c r="S85" s="38" t="s">
        <v>6</v>
      </c>
      <c r="T85" s="440">
        <f>T79</f>
        <v>4.3800000000000002E-4</v>
      </c>
      <c r="U85" s="492">
        <f>ROUND(R85*T85,2)</f>
        <v>20219.7</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4.3800000000000002E-4</v>
      </c>
      <c r="I88" s="101">
        <f>ROUND(F88*H88,2)</f>
        <v>0</v>
      </c>
      <c r="N88" s="766" t="s">
        <v>99</v>
      </c>
      <c r="O88" s="747"/>
      <c r="P88" s="747"/>
      <c r="Q88" s="44"/>
      <c r="R88" s="438">
        <f>F88</f>
        <v>0</v>
      </c>
      <c r="S88" s="38" t="s">
        <v>6</v>
      </c>
      <c r="T88" s="440">
        <f>T70</f>
        <v>4.3800000000000002E-4</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4.9100000000000001E-4</v>
      </c>
      <c r="I90" s="101">
        <f>ROUND(F90*H90,2)</f>
        <v>9349.6299999999992</v>
      </c>
      <c r="N90" s="472" t="s">
        <v>472</v>
      </c>
      <c r="O90" s="51"/>
      <c r="P90" s="51"/>
      <c r="Q90" s="44"/>
      <c r="R90" s="438">
        <f>F90</f>
        <v>19042026</v>
      </c>
      <c r="S90" s="38" t="s">
        <v>6</v>
      </c>
      <c r="T90" s="440">
        <f>T82</f>
        <v>4.9100000000000001E-4</v>
      </c>
      <c r="U90" s="492">
        <f>ROUND(R90*T90,2)</f>
        <v>9349.6299999999992</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4.8999999999999998E-4</v>
      </c>
      <c r="I92" s="101">
        <f t="shared" ref="I92:I96" si="14">ROUND(F92*H92,2)</f>
        <v>5606.16</v>
      </c>
      <c r="N92" s="472" t="s">
        <v>473</v>
      </c>
      <c r="O92" s="51"/>
      <c r="P92" s="51"/>
      <c r="Q92" s="44"/>
      <c r="R92" s="438">
        <f t="shared" ref="R92:R96" si="15">F92</f>
        <v>11441151</v>
      </c>
      <c r="S92" s="38" t="s">
        <v>6</v>
      </c>
      <c r="T92" s="440">
        <f>T76</f>
        <v>4.8999999999999998E-4</v>
      </c>
      <c r="U92" s="492">
        <f>ROUND(R92*T92,2)</f>
        <v>5606.16</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1.851E-3</v>
      </c>
      <c r="I94" s="101">
        <f t="shared" si="14"/>
        <v>473405.87</v>
      </c>
      <c r="N94" s="747" t="s">
        <v>438</v>
      </c>
      <c r="O94" s="747"/>
      <c r="P94" s="747"/>
      <c r="Q94" s="44"/>
      <c r="R94" s="438">
        <f t="shared" si="15"/>
        <v>255756816</v>
      </c>
      <c r="S94" s="38" t="s">
        <v>6</v>
      </c>
      <c r="T94" s="440">
        <f>T73</f>
        <v>3.9199999999999999E-4</v>
      </c>
      <c r="U94" s="492">
        <f>ROUND(R94*T94,2)</f>
        <v>100256.67</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1.851E-3</v>
      </c>
      <c r="I96" s="101">
        <f t="shared" si="14"/>
        <v>-2934.87</v>
      </c>
      <c r="N96" s="746" t="s">
        <v>439</v>
      </c>
      <c r="O96" s="747"/>
      <c r="P96" s="747"/>
      <c r="Q96" s="44"/>
      <c r="R96" s="438">
        <f t="shared" si="15"/>
        <v>-1585559</v>
      </c>
      <c r="S96" s="38" t="s">
        <v>6</v>
      </c>
      <c r="T96" s="440">
        <f>T73</f>
        <v>3.9199999999999999E-4</v>
      </c>
      <c r="U96" s="492">
        <f>ROUND(R96*T96,2)</f>
        <v>-621.54</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4.3800000000000002E-4</v>
      </c>
      <c r="I98" s="101">
        <f t="shared" ref="I98" si="16">ROUND(F98*H98,2)</f>
        <v>0</v>
      </c>
      <c r="N98" s="551" t="s">
        <v>513</v>
      </c>
      <c r="O98" s="551"/>
      <c r="P98" s="551"/>
      <c r="Q98" s="44"/>
      <c r="R98" s="554">
        <f>F98</f>
        <v>0</v>
      </c>
      <c r="S98" s="552" t="s">
        <v>6</v>
      </c>
      <c r="T98" s="440">
        <f>T70</f>
        <v>4.3800000000000002E-4</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243.28399999999999</v>
      </c>
      <c r="D104" s="703"/>
      <c r="E104" s="46">
        <f>H8</f>
        <v>1.0407999999999999</v>
      </c>
      <c r="F104" s="302">
        <f>'1461'!F104</f>
        <v>950.92</v>
      </c>
      <c r="G104" s="39" t="s">
        <v>12</v>
      </c>
      <c r="H104" s="101">
        <f>ROUND(C104*E104*F104,2)</f>
        <v>240782.44</v>
      </c>
      <c r="I104" s="104"/>
      <c r="N104" s="28" t="s">
        <v>17</v>
      </c>
      <c r="O104" s="47">
        <f>T14+T15+T20+T23+T26</f>
        <v>53</v>
      </c>
      <c r="P104" s="761">
        <f>T8</f>
        <v>1.0407999999999999</v>
      </c>
      <c r="Q104" s="761"/>
      <c r="R104" s="48">
        <f>F104</f>
        <v>950.92</v>
      </c>
      <c r="S104" s="40" t="s">
        <v>12</v>
      </c>
      <c r="T104" s="498">
        <f>ROUND(O104*P104*R104,2)</f>
        <v>52455.03</v>
      </c>
      <c r="U104" s="102"/>
    </row>
    <row r="105" spans="1:21" x14ac:dyDescent="0.25">
      <c r="A105" s="49"/>
      <c r="B105" s="49" t="s">
        <v>104</v>
      </c>
      <c r="C105" s="703">
        <f>H16+H17+H21+H24+H27</f>
        <v>191.57400000000001</v>
      </c>
      <c r="D105" s="703"/>
      <c r="E105" s="46">
        <f>H8</f>
        <v>1.0407999999999999</v>
      </c>
      <c r="F105" s="302">
        <f>'1461'!F105</f>
        <v>907.92</v>
      </c>
      <c r="G105" s="39" t="s">
        <v>12</v>
      </c>
      <c r="H105" s="101">
        <f>ROUND(C105*E105*F105,2)</f>
        <v>181030.37</v>
      </c>
      <c r="N105" s="50" t="s">
        <v>13</v>
      </c>
      <c r="O105" s="47">
        <f>T16+T17+T21+T24+T27</f>
        <v>39</v>
      </c>
      <c r="P105" s="761">
        <f>T8</f>
        <v>1.0407999999999999</v>
      </c>
      <c r="Q105" s="761"/>
      <c r="R105" s="48">
        <f>F105</f>
        <v>907.92</v>
      </c>
      <c r="S105" s="40" t="s">
        <v>12</v>
      </c>
      <c r="T105" s="498">
        <f>ROUND(O105*P105*R105,2)</f>
        <v>36853.56</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434.858</v>
      </c>
      <c r="D107" s="716"/>
      <c r="E107" s="123"/>
      <c r="F107" s="123"/>
      <c r="G107" s="123"/>
      <c r="H107" s="124" t="s">
        <v>100</v>
      </c>
      <c r="I107" s="101">
        <f>IF(A1=75,0,H106+H105+H104)</f>
        <v>421812.81</v>
      </c>
      <c r="N107" s="56" t="s">
        <v>89</v>
      </c>
      <c r="O107" s="57">
        <f>SUM(O104:O106)</f>
        <v>92</v>
      </c>
      <c r="P107" s="756" t="s">
        <v>16</v>
      </c>
      <c r="Q107" s="757"/>
      <c r="R107" s="757"/>
      <c r="S107" s="757"/>
      <c r="T107" s="757"/>
      <c r="U107" s="492">
        <f>IF(N1=75,0,T106+T105+T104)</f>
        <v>89308.59</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1</v>
      </c>
      <c r="D113" s="143">
        <v>0</v>
      </c>
      <c r="E113" s="144">
        <f>(C113+D113)/2</f>
        <v>0.5</v>
      </c>
      <c r="F113" s="126" t="s">
        <v>30</v>
      </c>
      <c r="G113" s="303">
        <f>'1461'!G113</f>
        <v>567</v>
      </c>
      <c r="I113" s="101">
        <f>ROUND(G113*E113,2)</f>
        <v>283.5</v>
      </c>
      <c r="N113" s="755" t="s">
        <v>52</v>
      </c>
      <c r="O113" s="755"/>
      <c r="P113" s="754">
        <f>IF(H133=1,E113,0)</f>
        <v>0.5</v>
      </c>
      <c r="Q113" s="754"/>
      <c r="R113" s="754"/>
      <c r="S113" s="83" t="s">
        <v>30</v>
      </c>
      <c r="T113" s="58">
        <f>G113</f>
        <v>567</v>
      </c>
      <c r="U113" s="492">
        <f>ROUND(T113*P113,2)</f>
        <v>283.5</v>
      </c>
    </row>
    <row r="114" spans="1:21" x14ac:dyDescent="0.25">
      <c r="A114" s="717" t="s">
        <v>400</v>
      </c>
      <c r="B114" s="738"/>
      <c r="C114" s="143">
        <v>1</v>
      </c>
      <c r="D114" s="143">
        <v>0</v>
      </c>
      <c r="E114" s="144">
        <f>(C114+D114)/2</f>
        <v>0.5</v>
      </c>
      <c r="F114" s="126" t="s">
        <v>30</v>
      </c>
      <c r="G114" s="303">
        <f>'1461'!G114</f>
        <v>1821</v>
      </c>
      <c r="I114" s="101">
        <f>ROUND(G114*E114,2)</f>
        <v>910.5</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3376189.95</v>
      </c>
      <c r="N128" s="472"/>
      <c r="O128" s="471"/>
      <c r="P128" s="471"/>
      <c r="Q128" s="305"/>
      <c r="R128" s="305"/>
      <c r="S128" s="305"/>
      <c r="T128" s="305"/>
      <c r="U128" s="499">
        <f>SUM(U30,U85,U88,U90,U92,U94,U96,U107,U113,U114,U124,U126)</f>
        <v>734863.24</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3221023.97</v>
      </c>
      <c r="N130" s="747" t="s">
        <v>450</v>
      </c>
      <c r="O130" s="747"/>
      <c r="P130" s="747"/>
      <c r="Q130" s="747"/>
      <c r="R130" s="747"/>
      <c r="S130" s="747"/>
      <c r="T130" s="747"/>
      <c r="U130" s="132">
        <f>U128-U53</f>
        <v>700866.57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700866.57</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700866.57</v>
      </c>
      <c r="I135" s="94">
        <f>ROUND(IF(E30=0,0,IF(E30&gt;250,-(((250/E30)*H135)*IF(G135="H",0.02,0.05)),IF(G135="H",-0.02*H135,-0.05*H135))),2)</f>
        <v>-35043.33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3341146.62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-1342897.17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1998249.4500000002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285464.21000000002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6">
    <tabColor rgb="FFFFCCCC"/>
  </sheetPr>
  <dimension ref="A1:V221"/>
  <sheetViews>
    <sheetView topLeftCell="A22" workbookViewId="0">
      <selection activeCell="I53" sqref="I5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283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t="str">
        <f>'4100'!D11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 t="shared" si="1"/>
        <v>0</v>
      </c>
      <c r="F18" s="788">
        <f>'1461'!F18:G18</f>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0</v>
      </c>
      <c r="D19" s="143">
        <v>0</v>
      </c>
      <c r="E19" s="116">
        <f t="shared" si="1"/>
        <v>0</v>
      </c>
      <c r="F19" s="788">
        <f>'1461'!F19:G19</f>
        <v>0.97799999999999998</v>
      </c>
      <c r="G19" s="788"/>
      <c r="H19" s="80">
        <f t="shared" si="2"/>
        <v>0</v>
      </c>
      <c r="I19" s="101">
        <f t="shared" si="3"/>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f>'1461'!F28:G28</f>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f>'1461'!F29:G29</f>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0</v>
      </c>
      <c r="D30" s="94">
        <f>SUM(D14:D29)</f>
        <v>0</v>
      </c>
      <c r="E30" s="94">
        <f>SUM(E14:E29)</f>
        <v>0</v>
      </c>
      <c r="F30" s="724"/>
      <c r="G30" s="724"/>
      <c r="H30" s="99">
        <f>SUM(H14:H29)</f>
        <v>0</v>
      </c>
      <c r="I30" s="94">
        <f>SUM(I14:I29)</f>
        <v>0</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723460.72000000009</v>
      </c>
      <c r="G51" s="109" t="s">
        <v>6</v>
      </c>
      <c r="H51" s="420">
        <v>5.5899999999999998E-2</v>
      </c>
      <c r="I51" s="101">
        <v>0</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723460.72000000009</v>
      </c>
      <c r="G52" s="109" t="s">
        <v>6</v>
      </c>
      <c r="H52" s="420">
        <v>1.0699999999999999E-2</v>
      </c>
      <c r="I52" s="101">
        <v>0</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0</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0</v>
      </c>
      <c r="D63" s="143">
        <v>0</v>
      </c>
      <c r="E63" s="116">
        <f t="shared" si="10"/>
        <v>0</v>
      </c>
      <c r="F63" s="463" t="s">
        <v>14</v>
      </c>
      <c r="G63" s="462">
        <v>251</v>
      </c>
      <c r="H63" s="476">
        <f>'1461'!H63</f>
        <v>835</v>
      </c>
      <c r="I63" s="101">
        <f t="shared" si="11"/>
        <v>0</v>
      </c>
      <c r="N63" s="779"/>
      <c r="O63" s="779"/>
      <c r="P63" s="773"/>
      <c r="Q63" s="773"/>
      <c r="R63" s="40" t="s">
        <v>14</v>
      </c>
      <c r="S63" s="468">
        <v>251</v>
      </c>
      <c r="T63" s="479">
        <f t="shared" si="12"/>
        <v>835</v>
      </c>
      <c r="U63" s="493">
        <f t="shared" si="13"/>
        <v>0</v>
      </c>
      <c r="V63" s="443"/>
    </row>
    <row r="64" spans="1:22" x14ac:dyDescent="0.25">
      <c r="A64" s="721"/>
      <c r="B64" s="721"/>
      <c r="C64" s="143">
        <v>0</v>
      </c>
      <c r="D64" s="143">
        <v>0</v>
      </c>
      <c r="E64" s="116">
        <f t="shared" si="10"/>
        <v>0</v>
      </c>
      <c r="F64" s="463" t="s">
        <v>14</v>
      </c>
      <c r="G64" s="462">
        <v>252</v>
      </c>
      <c r="H64" s="476">
        <f>'1461'!H64</f>
        <v>3168</v>
      </c>
      <c r="I64" s="101">
        <f t="shared" si="11"/>
        <v>0</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0</v>
      </c>
      <c r="D66" s="97">
        <f>SUM(D57:D65)</f>
        <v>0</v>
      </c>
      <c r="E66" s="97">
        <f>SUM(E57:E65)</f>
        <v>0</v>
      </c>
      <c r="F66" s="708" t="s">
        <v>464</v>
      </c>
      <c r="G66" s="708"/>
      <c r="H66" s="708"/>
      <c r="I66" s="97">
        <f>SUM(I57:I65)</f>
        <v>0</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0</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0</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0</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0</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0</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0</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0</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0</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0</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0</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0</v>
      </c>
      <c r="I85" s="101">
        <f>ROUND(F85*H85,2)</f>
        <v>0</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0</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0</v>
      </c>
      <c r="I90" s="101">
        <f>ROUND(F90*H90,2)</f>
        <v>0</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0</v>
      </c>
      <c r="I92" s="101">
        <f t="shared" ref="I92:I96" si="14">ROUND(F92*H92,2)</f>
        <v>0</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0</v>
      </c>
      <c r="I94" s="101">
        <f t="shared" si="14"/>
        <v>0</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0</v>
      </c>
      <c r="I96" s="101">
        <f t="shared" si="14"/>
        <v>0</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0</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302">
        <f>'1461'!F106</f>
        <v>910.12</v>
      </c>
      <c r="G106" s="39"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0</v>
      </c>
      <c r="D107" s="716"/>
      <c r="E107" s="123"/>
      <c r="F107" s="123"/>
      <c r="G107" s="123"/>
      <c r="H107" s="124" t="s">
        <v>100</v>
      </c>
      <c r="I107" s="101">
        <f>IF(A1=75,0,H106+H105+H104)</f>
        <v>0</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44">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0</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0</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1">
    <tabColor rgb="FFFFCCCC"/>
  </sheetPr>
  <dimension ref="A1:V221"/>
  <sheetViews>
    <sheetView topLeftCell="A22" workbookViewId="0">
      <selection activeCell="C27" sqref="C27:C28"/>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322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147.03</v>
      </c>
      <c r="D16" s="143">
        <v>0</v>
      </c>
      <c r="E16" s="116">
        <f t="shared" si="1"/>
        <v>294.06</v>
      </c>
      <c r="F16" s="788">
        <f>'1461'!F16:G16</f>
        <v>1</v>
      </c>
      <c r="G16" s="788"/>
      <c r="H16" s="80">
        <f t="shared" si="2"/>
        <v>294.06</v>
      </c>
      <c r="I16" s="101">
        <f t="shared" si="3"/>
        <v>1631587.2</v>
      </c>
      <c r="N16" s="747" t="s">
        <v>22</v>
      </c>
      <c r="O16" s="747"/>
      <c r="P16" s="789">
        <f t="shared" si="0"/>
        <v>0</v>
      </c>
      <c r="Q16" s="789"/>
      <c r="R16" s="793">
        <v>1</v>
      </c>
      <c r="S16" s="793"/>
      <c r="T16" s="95">
        <f t="shared" si="4"/>
        <v>0</v>
      </c>
      <c r="U16" s="492">
        <f t="shared" si="5"/>
        <v>0</v>
      </c>
    </row>
    <row r="17" spans="1:21" x14ac:dyDescent="0.25">
      <c r="A17" s="705" t="s">
        <v>23</v>
      </c>
      <c r="B17" s="705"/>
      <c r="C17" s="143">
        <v>22.5</v>
      </c>
      <c r="D17" s="143">
        <v>0</v>
      </c>
      <c r="E17" s="116">
        <f t="shared" si="1"/>
        <v>45</v>
      </c>
      <c r="F17" s="788">
        <f>'1461'!F17:G17</f>
        <v>1</v>
      </c>
      <c r="G17" s="788"/>
      <c r="H17" s="80">
        <f t="shared" si="2"/>
        <v>45</v>
      </c>
      <c r="I17" s="101">
        <f t="shared" si="3"/>
        <v>249681.78</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189.59</v>
      </c>
      <c r="D18" s="143">
        <v>0</v>
      </c>
      <c r="E18" s="116">
        <f t="shared" si="1"/>
        <v>379.18</v>
      </c>
      <c r="F18" s="788">
        <f>'1461'!F18:G18</f>
        <v>0.97799999999999998</v>
      </c>
      <c r="G18" s="788"/>
      <c r="H18" s="80">
        <f t="shared" si="2"/>
        <v>370.83800000000002</v>
      </c>
      <c r="I18" s="101">
        <f t="shared" si="3"/>
        <v>2057588.7</v>
      </c>
      <c r="N18" s="747" t="s">
        <v>24</v>
      </c>
      <c r="O18" s="747"/>
      <c r="P18" s="789">
        <f t="shared" si="0"/>
        <v>0</v>
      </c>
      <c r="Q18" s="789"/>
      <c r="R18" s="793">
        <v>1</v>
      </c>
      <c r="S18" s="793"/>
      <c r="T18" s="95">
        <f t="shared" si="4"/>
        <v>0</v>
      </c>
      <c r="U18" s="492">
        <f t="shared" si="5"/>
        <v>0</v>
      </c>
    </row>
    <row r="19" spans="1:21" x14ac:dyDescent="0.25">
      <c r="A19" s="705" t="s">
        <v>25</v>
      </c>
      <c r="B19" s="705"/>
      <c r="C19" s="143">
        <v>30.5</v>
      </c>
      <c r="D19" s="143">
        <v>0</v>
      </c>
      <c r="E19" s="116">
        <f t="shared" si="1"/>
        <v>61</v>
      </c>
      <c r="F19" s="788">
        <f>'1461'!F19:G19</f>
        <v>0.97799999999999998</v>
      </c>
      <c r="G19" s="788"/>
      <c r="H19" s="80">
        <f t="shared" si="2"/>
        <v>59.658000000000001</v>
      </c>
      <c r="I19" s="101">
        <f t="shared" si="3"/>
        <v>331011.46000000002</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27.85</v>
      </c>
      <c r="D27" s="143">
        <v>0</v>
      </c>
      <c r="E27" s="116">
        <f t="shared" si="1"/>
        <v>55.7</v>
      </c>
      <c r="F27" s="788">
        <f>'1461'!F27:G27</f>
        <v>1.1919999999999999</v>
      </c>
      <c r="G27" s="788"/>
      <c r="H27" s="80">
        <f t="shared" si="2"/>
        <v>66.394400000000005</v>
      </c>
      <c r="I27" s="101">
        <f t="shared" si="3"/>
        <v>368388.27</v>
      </c>
      <c r="N27" s="747" t="s">
        <v>86</v>
      </c>
      <c r="O27" s="747"/>
      <c r="P27" s="789">
        <f t="shared" si="0"/>
        <v>0</v>
      </c>
      <c r="Q27" s="789"/>
      <c r="R27" s="793">
        <v>1</v>
      </c>
      <c r="S27" s="793"/>
      <c r="T27" s="95">
        <f t="shared" si="4"/>
        <v>0</v>
      </c>
      <c r="U27" s="492">
        <f t="shared" si="5"/>
        <v>0</v>
      </c>
    </row>
    <row r="28" spans="1:21" x14ac:dyDescent="0.25">
      <c r="A28" s="705" t="s">
        <v>87</v>
      </c>
      <c r="B28" s="705"/>
      <c r="C28" s="143">
        <v>45.26</v>
      </c>
      <c r="D28" s="143">
        <v>0</v>
      </c>
      <c r="E28" s="116">
        <f t="shared" si="1"/>
        <v>90.52</v>
      </c>
      <c r="F28" s="788">
        <f>'1461'!F28:G28</f>
        <v>1.1919999999999999</v>
      </c>
      <c r="G28" s="788"/>
      <c r="H28" s="80">
        <f t="shared" si="2"/>
        <v>107.8998</v>
      </c>
      <c r="I28" s="101">
        <f t="shared" si="3"/>
        <v>598680.31000000006</v>
      </c>
      <c r="N28" s="747" t="s">
        <v>87</v>
      </c>
      <c r="O28" s="747"/>
      <c r="P28" s="789">
        <f t="shared" si="0"/>
        <v>0</v>
      </c>
      <c r="Q28" s="789"/>
      <c r="R28" s="793">
        <v>1</v>
      </c>
      <c r="S28" s="793"/>
      <c r="T28" s="95">
        <f t="shared" si="4"/>
        <v>0</v>
      </c>
      <c r="U28" s="492">
        <f t="shared" si="5"/>
        <v>0</v>
      </c>
    </row>
    <row r="29" spans="1:21" x14ac:dyDescent="0.25">
      <c r="A29" s="705" t="s">
        <v>88</v>
      </c>
      <c r="B29" s="705"/>
      <c r="C29" s="110">
        <v>24.55</v>
      </c>
      <c r="D29" s="110">
        <v>0</v>
      </c>
      <c r="E29" s="154">
        <f t="shared" si="1"/>
        <v>49.1</v>
      </c>
      <c r="F29" s="788">
        <f>'1461'!F29:G29</f>
        <v>1.079</v>
      </c>
      <c r="G29" s="788"/>
      <c r="H29" s="93">
        <f t="shared" si="2"/>
        <v>52.978900000000003</v>
      </c>
      <c r="I29" s="94">
        <f t="shared" si="3"/>
        <v>293952.58</v>
      </c>
      <c r="N29" s="748" t="s">
        <v>88</v>
      </c>
      <c r="O29" s="748"/>
      <c r="P29" s="789">
        <f t="shared" si="0"/>
        <v>0</v>
      </c>
      <c r="Q29" s="789"/>
      <c r="R29" s="790">
        <v>1</v>
      </c>
      <c r="S29" s="790"/>
      <c r="T29" s="95">
        <f t="shared" si="4"/>
        <v>0</v>
      </c>
      <c r="U29" s="492">
        <f t="shared" si="5"/>
        <v>0</v>
      </c>
    </row>
    <row r="30" spans="1:21" x14ac:dyDescent="0.25">
      <c r="A30" s="708" t="s">
        <v>5</v>
      </c>
      <c r="B30" s="708"/>
      <c r="C30" s="94">
        <f>SUM(C14:C29)</f>
        <v>487.28000000000003</v>
      </c>
      <c r="D30" s="94">
        <f>SUM(D14:D29)</f>
        <v>0</v>
      </c>
      <c r="E30" s="94">
        <f>SUM(E14:E29)</f>
        <v>974.56000000000006</v>
      </c>
      <c r="F30" s="724"/>
      <c r="G30" s="724"/>
      <c r="H30" s="99">
        <f>SUM(H14:H29)</f>
        <v>996.82910000000004</v>
      </c>
      <c r="I30" s="94">
        <f>SUM(I14:I29)</f>
        <v>5530890.3000000007</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5887722.7200000007</v>
      </c>
      <c r="G51" s="109" t="s">
        <v>6</v>
      </c>
      <c r="H51" s="420">
        <v>5.5899999999999998E-2</v>
      </c>
      <c r="I51" s="101">
        <f>ROUND(F51*H51,2)</f>
        <v>329123.7</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5887722.7200000007</v>
      </c>
      <c r="G52" s="109" t="s">
        <v>6</v>
      </c>
      <c r="H52" s="420">
        <v>1.0699999999999999E-2</v>
      </c>
      <c r="I52" s="101">
        <f>ROUND(F52*H52,2)</f>
        <v>62998.63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392122.33</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20.309999999999999</v>
      </c>
      <c r="D60" s="143">
        <v>0</v>
      </c>
      <c r="E60" s="116">
        <f t="shared" si="10"/>
        <v>40.619999999999997</v>
      </c>
      <c r="F60" s="463" t="s">
        <v>13</v>
      </c>
      <c r="G60" s="462">
        <v>251</v>
      </c>
      <c r="H60" s="476">
        <f>'1461'!H60</f>
        <v>1173</v>
      </c>
      <c r="I60" s="101">
        <f t="shared" si="11"/>
        <v>47647.26</v>
      </c>
      <c r="N60" s="779"/>
      <c r="O60" s="779"/>
      <c r="P60" s="773"/>
      <c r="Q60" s="773"/>
      <c r="R60" s="40" t="s">
        <v>13</v>
      </c>
      <c r="S60" s="468">
        <v>251</v>
      </c>
      <c r="T60" s="479">
        <f t="shared" si="12"/>
        <v>1173</v>
      </c>
      <c r="U60" s="493">
        <f t="shared" si="13"/>
        <v>0</v>
      </c>
      <c r="V60" s="443"/>
    </row>
    <row r="61" spans="1:22" x14ac:dyDescent="0.25">
      <c r="A61" s="721"/>
      <c r="B61" s="721"/>
      <c r="C61" s="143">
        <v>2.19</v>
      </c>
      <c r="D61" s="143">
        <v>0</v>
      </c>
      <c r="E61" s="116">
        <f t="shared" si="10"/>
        <v>4.38</v>
      </c>
      <c r="F61" s="463" t="s">
        <v>13</v>
      </c>
      <c r="G61" s="462">
        <v>252</v>
      </c>
      <c r="H61" s="476">
        <f>'1461'!H61</f>
        <v>3506</v>
      </c>
      <c r="I61" s="101">
        <f t="shared" si="11"/>
        <v>15356.28</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25.9</v>
      </c>
      <c r="D63" s="143">
        <v>0</v>
      </c>
      <c r="E63" s="116">
        <f t="shared" si="10"/>
        <v>51.8</v>
      </c>
      <c r="F63" s="463" t="s">
        <v>14</v>
      </c>
      <c r="G63" s="462">
        <v>251</v>
      </c>
      <c r="H63" s="476">
        <f>'1461'!H63</f>
        <v>835</v>
      </c>
      <c r="I63" s="101">
        <f t="shared" si="11"/>
        <v>43253</v>
      </c>
      <c r="N63" s="779"/>
      <c r="O63" s="779"/>
      <c r="P63" s="773"/>
      <c r="Q63" s="773"/>
      <c r="R63" s="40" t="s">
        <v>14</v>
      </c>
      <c r="S63" s="468">
        <v>251</v>
      </c>
      <c r="T63" s="479">
        <f t="shared" si="12"/>
        <v>835</v>
      </c>
      <c r="U63" s="493">
        <f t="shared" si="13"/>
        <v>0</v>
      </c>
      <c r="V63" s="443"/>
    </row>
    <row r="64" spans="1:22" x14ac:dyDescent="0.25">
      <c r="A64" s="721"/>
      <c r="B64" s="721"/>
      <c r="C64" s="143">
        <v>4.5999999999999996</v>
      </c>
      <c r="D64" s="143">
        <v>0</v>
      </c>
      <c r="E64" s="116">
        <f t="shared" si="10"/>
        <v>9.1999999999999993</v>
      </c>
      <c r="F64" s="463" t="s">
        <v>14</v>
      </c>
      <c r="G64" s="462">
        <v>252</v>
      </c>
      <c r="H64" s="476">
        <f>'1461'!H64</f>
        <v>3168</v>
      </c>
      <c r="I64" s="101">
        <f t="shared" si="11"/>
        <v>29145.599999999999</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53</v>
      </c>
      <c r="D66" s="97">
        <f>SUM(D57:D65)</f>
        <v>0</v>
      </c>
      <c r="E66" s="97">
        <f>SUM(E57:E65)</f>
        <v>106</v>
      </c>
      <c r="F66" s="708" t="s">
        <v>464</v>
      </c>
      <c r="G66" s="708"/>
      <c r="H66" s="708"/>
      <c r="I66" s="97">
        <f>SUM(I57:I65)</f>
        <v>135402.14000000001</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974.56000000000006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4.6360000000000004E-3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996.82910000000004</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4.2440000000000004E-3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974.56000000000006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5.1929999999999997E-3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974.56000000000006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4.6430000000000004E-3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974.56000000000006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5.202E-3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4.6430000000000004E-3</v>
      </c>
      <c r="I85" s="101">
        <f>ROUND(F85*H85,2)</f>
        <v>214338.08</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4.6360000000000004E-3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5.202E-3</v>
      </c>
      <c r="I90" s="101">
        <f>ROUND(F90*H90,2)</f>
        <v>99056.62</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5.1929999999999997E-3</v>
      </c>
      <c r="I92" s="101">
        <f t="shared" ref="I92:I96" si="14">ROUND(F92*H92,2)</f>
        <v>59413.9</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4.2440000000000004E-3</v>
      </c>
      <c r="I94" s="101">
        <f t="shared" si="14"/>
        <v>1085431.93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4.2440000000000004E-3</v>
      </c>
      <c r="I96" s="101">
        <f t="shared" si="14"/>
        <v>-6729.11</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4.6360000000000004E-3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405.45440000000002</v>
      </c>
      <c r="D105" s="703"/>
      <c r="E105" s="46">
        <f>H8</f>
        <v>1.0407999999999999</v>
      </c>
      <c r="F105" s="302">
        <f>'1461'!F105</f>
        <v>907.92</v>
      </c>
      <c r="G105" s="39" t="s">
        <v>12</v>
      </c>
      <c r="H105" s="101">
        <f>ROUND(C105*E105*F105,2)</f>
        <v>383139.46</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591.37469999999996</v>
      </c>
      <c r="D106" s="703"/>
      <c r="E106" s="46">
        <f>H8</f>
        <v>1.0407999999999999</v>
      </c>
      <c r="F106" s="302">
        <f>'1461'!F106</f>
        <v>910.12</v>
      </c>
      <c r="G106" s="39" t="s">
        <v>12</v>
      </c>
      <c r="H106" s="94">
        <f>ROUND(C106*E106*F106,2)</f>
        <v>560181.4</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996.82909999999993</v>
      </c>
      <c r="D107" s="716"/>
      <c r="E107" s="123"/>
      <c r="F107" s="123"/>
      <c r="G107" s="123"/>
      <c r="H107" s="124" t="s">
        <v>100</v>
      </c>
      <c r="I107" s="101">
        <f>IF(A1=75,0,H106+H105+H104)</f>
        <v>943320.8600000001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7</v>
      </c>
      <c r="D113" s="143">
        <v>1</v>
      </c>
      <c r="E113" s="144">
        <f>(C113+D113)/2</f>
        <v>4</v>
      </c>
      <c r="F113" s="126" t="s">
        <v>30</v>
      </c>
      <c r="G113" s="303">
        <f>'1461'!G113</f>
        <v>567</v>
      </c>
      <c r="I113" s="101">
        <f>ROUND(G113*E113,2)</f>
        <v>2268</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8063392.7200000007</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7671270.3900000006</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7671270.3900000006</v>
      </c>
      <c r="I135" s="94">
        <f>ROUND(IF(E30=0,0,IF(E30&gt;250,-(((250/E30)*H135)*IF(G135="H",0.02,0.05)),IF(G135="H",-0.02*H135,-0.05*H135))),2)</f>
        <v>-98394.02</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7964998.7000000011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-3529042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4435956.7000000011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633708.1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285169.5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2">
    <tabColor rgb="FFFFCCCC"/>
  </sheetPr>
  <dimension ref="A1:V221"/>
  <sheetViews>
    <sheetView topLeftCell="A28" workbookViewId="0">
      <selection activeCell="D64" sqref="D6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333</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103.18</v>
      </c>
      <c r="D18" s="143">
        <v>0</v>
      </c>
      <c r="E18" s="116">
        <f t="shared" si="1"/>
        <v>206.36</v>
      </c>
      <c r="F18" s="788">
        <f>'1461'!F18:G18</f>
        <v>0.97799999999999998</v>
      </c>
      <c r="G18" s="788"/>
      <c r="H18" s="80">
        <f t="shared" si="2"/>
        <v>201.8201</v>
      </c>
      <c r="I18" s="101">
        <f t="shared" si="3"/>
        <v>1119795.5900000001</v>
      </c>
      <c r="N18" s="747" t="s">
        <v>24</v>
      </c>
      <c r="O18" s="747"/>
      <c r="P18" s="789">
        <f t="shared" si="0"/>
        <v>0</v>
      </c>
      <c r="Q18" s="789"/>
      <c r="R18" s="793">
        <v>1</v>
      </c>
      <c r="S18" s="793"/>
      <c r="T18" s="95">
        <f t="shared" si="4"/>
        <v>0</v>
      </c>
      <c r="U18" s="492">
        <f t="shared" si="5"/>
        <v>0</v>
      </c>
    </row>
    <row r="19" spans="1:21" x14ac:dyDescent="0.25">
      <c r="A19" s="705" t="s">
        <v>25</v>
      </c>
      <c r="B19" s="705"/>
      <c r="C19" s="143">
        <v>17.920000000000002</v>
      </c>
      <c r="D19" s="143">
        <v>0</v>
      </c>
      <c r="E19" s="116">
        <f t="shared" si="1"/>
        <v>35.840000000000003</v>
      </c>
      <c r="F19" s="788">
        <f>'1461'!F19:G19</f>
        <v>0.97799999999999998</v>
      </c>
      <c r="G19" s="788"/>
      <c r="H19" s="80">
        <f t="shared" si="2"/>
        <v>35.051499999999997</v>
      </c>
      <c r="I19" s="101">
        <f t="shared" si="3"/>
        <v>194482.69</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23.78</v>
      </c>
      <c r="D28" s="143">
        <v>0</v>
      </c>
      <c r="E28" s="116">
        <f t="shared" si="1"/>
        <v>47.56</v>
      </c>
      <c r="F28" s="788">
        <f>'1461'!F28:G28</f>
        <v>1.1919999999999999</v>
      </c>
      <c r="G28" s="788"/>
      <c r="H28" s="80">
        <f t="shared" si="2"/>
        <v>56.691499999999998</v>
      </c>
      <c r="I28" s="101">
        <f t="shared" si="3"/>
        <v>314551.88</v>
      </c>
      <c r="N28" s="747" t="s">
        <v>87</v>
      </c>
      <c r="O28" s="747"/>
      <c r="P28" s="789">
        <f t="shared" si="0"/>
        <v>0</v>
      </c>
      <c r="Q28" s="789"/>
      <c r="R28" s="793">
        <v>1</v>
      </c>
      <c r="S28" s="793"/>
      <c r="T28" s="95">
        <f t="shared" si="4"/>
        <v>0</v>
      </c>
      <c r="U28" s="492">
        <f t="shared" si="5"/>
        <v>0</v>
      </c>
    </row>
    <row r="29" spans="1:21" x14ac:dyDescent="0.25">
      <c r="A29" s="705" t="s">
        <v>88</v>
      </c>
      <c r="B29" s="705"/>
      <c r="C29" s="110">
        <v>8.64</v>
      </c>
      <c r="D29" s="110">
        <v>0</v>
      </c>
      <c r="E29" s="116">
        <f t="shared" si="1"/>
        <v>17.28</v>
      </c>
      <c r="F29" s="788">
        <f>'1461'!F29:G29</f>
        <v>1.079</v>
      </c>
      <c r="G29" s="788"/>
      <c r="H29" s="93">
        <f t="shared" si="2"/>
        <v>18.645099999999999</v>
      </c>
      <c r="I29" s="94">
        <f t="shared" si="3"/>
        <v>103452.04</v>
      </c>
      <c r="N29" s="748" t="s">
        <v>88</v>
      </c>
      <c r="O29" s="748"/>
      <c r="P29" s="789">
        <f t="shared" si="0"/>
        <v>0</v>
      </c>
      <c r="Q29" s="789"/>
      <c r="R29" s="790">
        <v>1</v>
      </c>
      <c r="S29" s="790"/>
      <c r="T29" s="95">
        <f t="shared" si="4"/>
        <v>0</v>
      </c>
      <c r="U29" s="492">
        <f t="shared" si="5"/>
        <v>0</v>
      </c>
    </row>
    <row r="30" spans="1:21" x14ac:dyDescent="0.25">
      <c r="A30" s="708" t="s">
        <v>5</v>
      </c>
      <c r="B30" s="708"/>
      <c r="C30" s="94">
        <f>SUM(C14:C29)</f>
        <v>153.51999999999998</v>
      </c>
      <c r="D30" s="94">
        <f>SUM(D14:D29)</f>
        <v>0</v>
      </c>
      <c r="E30" s="97">
        <f>SUM(E14:E29)</f>
        <v>307.03999999999996</v>
      </c>
      <c r="F30" s="724"/>
      <c r="G30" s="724"/>
      <c r="H30" s="99">
        <f>SUM(H14:H29)</f>
        <v>312.20820000000003</v>
      </c>
      <c r="I30" s="94">
        <f>SUM(I14:I29)</f>
        <v>1732282.2000000002</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42">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44">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44">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44">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44">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36">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1737693.6400000001</v>
      </c>
      <c r="G51" s="109" t="s">
        <v>6</v>
      </c>
      <c r="H51" s="420">
        <v>5.5899999999999998E-2</v>
      </c>
      <c r="I51" s="101">
        <f>ROUND(F51*H51,2)</f>
        <v>97137.07</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1737693.6400000001</v>
      </c>
      <c r="G52" s="109" t="s">
        <v>6</v>
      </c>
      <c r="H52" s="420">
        <v>1.0699999999999999E-2</v>
      </c>
      <c r="I52" s="101">
        <f>ROUND(F52*H52,2)</f>
        <v>18593.32</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115730.39000000001</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17.72</v>
      </c>
      <c r="D63" s="143">
        <v>0</v>
      </c>
      <c r="E63" s="116">
        <f t="shared" si="10"/>
        <v>35.44</v>
      </c>
      <c r="F63" s="463" t="s">
        <v>14</v>
      </c>
      <c r="G63" s="462">
        <v>251</v>
      </c>
      <c r="H63" s="476">
        <f>'1461'!H63</f>
        <v>835</v>
      </c>
      <c r="I63" s="101">
        <f t="shared" si="11"/>
        <v>29592.400000000001</v>
      </c>
      <c r="N63" s="779"/>
      <c r="O63" s="779"/>
      <c r="P63" s="773"/>
      <c r="Q63" s="773"/>
      <c r="R63" s="40" t="s">
        <v>14</v>
      </c>
      <c r="S63" s="468">
        <v>251</v>
      </c>
      <c r="T63" s="479">
        <f t="shared" si="12"/>
        <v>835</v>
      </c>
      <c r="U63" s="493">
        <f t="shared" si="13"/>
        <v>0</v>
      </c>
      <c r="V63" s="443"/>
    </row>
    <row r="64" spans="1:22" x14ac:dyDescent="0.25">
      <c r="A64" s="721"/>
      <c r="B64" s="721"/>
      <c r="C64" s="143">
        <v>0.2</v>
      </c>
      <c r="D64" s="143">
        <v>0</v>
      </c>
      <c r="E64" s="116">
        <f t="shared" si="10"/>
        <v>0.4</v>
      </c>
      <c r="F64" s="463" t="s">
        <v>14</v>
      </c>
      <c r="G64" s="462">
        <v>252</v>
      </c>
      <c r="H64" s="476">
        <f>'1461'!H64</f>
        <v>3168</v>
      </c>
      <c r="I64" s="101">
        <f t="shared" si="11"/>
        <v>1267.2</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17.919999999999998</v>
      </c>
      <c r="D66" s="97">
        <f>SUM(D57:D65)</f>
        <v>0</v>
      </c>
      <c r="E66" s="97">
        <f>SUM(E57:E65)</f>
        <v>35.839999999999996</v>
      </c>
      <c r="F66" s="708" t="s">
        <v>464</v>
      </c>
      <c r="G66" s="708"/>
      <c r="H66" s="708"/>
      <c r="I66" s="97">
        <f>SUM(I57:I65)</f>
        <v>30859.600000000002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307.03999999999996</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1.4610000000000001E-3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312.20820000000003</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1.3290000000000001E-3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307.03999999999996</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1.6360000000000001E-3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307.03999999999996</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1.4630000000000001E-3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307.03999999999996</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1.639E-3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1.4630000000000001E-3</v>
      </c>
      <c r="I85" s="101">
        <f>ROUND(F85*H85,2)</f>
        <v>67537.5</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53"/>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1.4610000000000001E-3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1.639E-3</v>
      </c>
      <c r="I90" s="101">
        <f>ROUND(F90*H90,2)</f>
        <v>31209.88</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1.6360000000000001E-3</v>
      </c>
      <c r="I92" s="101">
        <f t="shared" ref="I92:I96" si="14">ROUND(F92*H92,2)</f>
        <v>18717.72</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1.3290000000000001E-3</v>
      </c>
      <c r="I94" s="101">
        <f t="shared" si="14"/>
        <v>339900.81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1.3290000000000001E-3</v>
      </c>
      <c r="I96" s="101">
        <f t="shared" si="14"/>
        <v>-2107.21</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1.4610000000000001E-3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312.20820000000003</v>
      </c>
      <c r="D106" s="703"/>
      <c r="E106" s="46">
        <f>H8</f>
        <v>1.0407999999999999</v>
      </c>
      <c r="F106" s="302">
        <f>'1461'!F106</f>
        <v>910.12</v>
      </c>
      <c r="G106" s="39" t="s">
        <v>12</v>
      </c>
      <c r="H106" s="94">
        <f>ROUND(C106*E106*F106,2)</f>
        <v>295740.12</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312.20820000000003</v>
      </c>
      <c r="D107" s="716"/>
      <c r="E107" s="123"/>
      <c r="F107" s="123"/>
      <c r="G107" s="123"/>
      <c r="H107" s="124" t="s">
        <v>100</v>
      </c>
      <c r="I107" s="101">
        <f>IF(A1=75,0,H106+H105+H104)</f>
        <v>295740.12</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2</v>
      </c>
      <c r="D113" s="143">
        <v>0</v>
      </c>
      <c r="E113" s="144">
        <f>(C113+D113)/2</f>
        <v>1</v>
      </c>
      <c r="F113" s="126" t="s">
        <v>30</v>
      </c>
      <c r="G113" s="303">
        <f>'1461'!G113</f>
        <v>567</v>
      </c>
      <c r="I113" s="101">
        <f>ROUND(G113*E113,2)</f>
        <v>567</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44">
        <f>C114</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42">
        <f>IF(D30=0,C121*2,C121+D121)</f>
        <v>0</v>
      </c>
      <c r="F121" s="818">
        <v>0</v>
      </c>
      <c r="G121" s="818"/>
      <c r="H121" s="61">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44">
        <f>IF(D31=0,C122*2,C122+D122)</f>
        <v>0</v>
      </c>
      <c r="F122" s="710">
        <f>ROUND(F121/2,2)</f>
        <v>0</v>
      </c>
      <c r="G122" s="710"/>
      <c r="H122" s="61">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44">
        <f>IF(D32=0,C123*2,C123+D123)</f>
        <v>0</v>
      </c>
      <c r="F123" s="711"/>
      <c r="G123" s="711"/>
      <c r="H123" s="63">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2514707.62</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2398977.23</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2398977.23</v>
      </c>
      <c r="I135" s="94">
        <f>ROUND(IF(E30=0,0,IF(E30&gt;250,-(((250/E30)*H135)*IF(G135="H",0.02,0.05)),IF(G135="H",-0.02*H135,-0.05*H135))),2)</f>
        <v>-97665.5</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2417042.12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-1013554.46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1403487.6600000001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200498.24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22283.360000000001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1">
    <tabColor rgb="FFFFCCCC"/>
  </sheetPr>
  <dimension ref="A1:V221"/>
  <sheetViews>
    <sheetView topLeftCell="A28" workbookViewId="0">
      <selection activeCell="H33" sqref="H3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28" t="s">
        <v>15</v>
      </c>
      <c r="C1" s="729"/>
      <c r="D1" s="729"/>
      <c r="E1" s="729"/>
      <c r="F1" s="729"/>
      <c r="G1" s="729"/>
      <c r="H1" s="729"/>
      <c r="I1" s="729"/>
      <c r="J1" s="135"/>
      <c r="K1" s="135"/>
      <c r="L1" s="135"/>
      <c r="N1" s="82">
        <f>A1</f>
        <v>0</v>
      </c>
      <c r="O1" s="809" t="s">
        <v>15</v>
      </c>
      <c r="P1" s="810"/>
      <c r="Q1" s="810"/>
      <c r="R1" s="810"/>
      <c r="S1" s="810"/>
      <c r="T1" s="810"/>
      <c r="U1" s="810"/>
    </row>
    <row r="2" spans="1:21" ht="21" x14ac:dyDescent="0.35">
      <c r="A2" s="1" t="s">
        <v>372</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151"/>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2"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35.590000000000003</v>
      </c>
      <c r="D18" s="143">
        <v>0</v>
      </c>
      <c r="E18" s="116">
        <f t="shared" si="1"/>
        <v>71.180000000000007</v>
      </c>
      <c r="F18" s="788">
        <f>'1461'!F18:G18</f>
        <v>0.97799999999999998</v>
      </c>
      <c r="G18" s="788"/>
      <c r="H18" s="80">
        <f t="shared" si="2"/>
        <v>69.614000000000004</v>
      </c>
      <c r="I18" s="101">
        <f t="shared" si="3"/>
        <v>386252.16</v>
      </c>
      <c r="N18" s="747" t="s">
        <v>24</v>
      </c>
      <c r="O18" s="747"/>
      <c r="P18" s="789">
        <f t="shared" si="0"/>
        <v>0</v>
      </c>
      <c r="Q18" s="789"/>
      <c r="R18" s="793">
        <v>1</v>
      </c>
      <c r="S18" s="793"/>
      <c r="T18" s="95">
        <f t="shared" si="4"/>
        <v>0</v>
      </c>
      <c r="U18" s="492">
        <f t="shared" si="5"/>
        <v>0</v>
      </c>
    </row>
    <row r="19" spans="1:21" x14ac:dyDescent="0.25">
      <c r="A19" s="705" t="s">
        <v>25</v>
      </c>
      <c r="B19" s="705"/>
      <c r="C19" s="143">
        <v>8.27</v>
      </c>
      <c r="D19" s="143">
        <v>0</v>
      </c>
      <c r="E19" s="116">
        <f t="shared" si="1"/>
        <v>16.54</v>
      </c>
      <c r="F19" s="788">
        <f>'1461'!F19:G19</f>
        <v>0.97799999999999998</v>
      </c>
      <c r="G19" s="788"/>
      <c r="H19" s="80">
        <f t="shared" si="2"/>
        <v>16.176100000000002</v>
      </c>
      <c r="I19" s="101">
        <f t="shared" si="3"/>
        <v>89752.83</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4.28</v>
      </c>
      <c r="D28" s="143">
        <v>0</v>
      </c>
      <c r="E28" s="116">
        <f t="shared" si="1"/>
        <v>8.56</v>
      </c>
      <c r="F28" s="788">
        <f>'1461'!F28:G28</f>
        <v>1.1919999999999999</v>
      </c>
      <c r="G28" s="788"/>
      <c r="H28" s="80">
        <f t="shared" si="2"/>
        <v>10.2035</v>
      </c>
      <c r="I28" s="101">
        <f t="shared" si="3"/>
        <v>56613.96</v>
      </c>
      <c r="N28" s="747" t="s">
        <v>87</v>
      </c>
      <c r="O28" s="747"/>
      <c r="P28" s="789">
        <f t="shared" si="0"/>
        <v>0</v>
      </c>
      <c r="Q28" s="789"/>
      <c r="R28" s="793">
        <v>1</v>
      </c>
      <c r="S28" s="793"/>
      <c r="T28" s="95">
        <f t="shared" si="4"/>
        <v>0</v>
      </c>
      <c r="U28" s="492">
        <f t="shared" si="5"/>
        <v>0</v>
      </c>
    </row>
    <row r="29" spans="1:21" x14ac:dyDescent="0.25">
      <c r="A29" s="705" t="s">
        <v>88</v>
      </c>
      <c r="B29" s="705"/>
      <c r="C29" s="110">
        <v>3.37</v>
      </c>
      <c r="D29" s="110">
        <v>0</v>
      </c>
      <c r="E29" s="154">
        <f t="shared" si="1"/>
        <v>6.74</v>
      </c>
      <c r="F29" s="788">
        <f>'1461'!F29:G29</f>
        <v>1.079</v>
      </c>
      <c r="G29" s="788"/>
      <c r="H29" s="93">
        <f t="shared" si="2"/>
        <v>7.2725</v>
      </c>
      <c r="I29" s="94">
        <f t="shared" si="3"/>
        <v>40351.35</v>
      </c>
      <c r="N29" s="748" t="s">
        <v>88</v>
      </c>
      <c r="O29" s="748"/>
      <c r="P29" s="789">
        <f t="shared" si="0"/>
        <v>0</v>
      </c>
      <c r="Q29" s="789"/>
      <c r="R29" s="790">
        <v>1</v>
      </c>
      <c r="S29" s="790"/>
      <c r="T29" s="95">
        <f t="shared" si="4"/>
        <v>0</v>
      </c>
      <c r="U29" s="492">
        <f t="shared" si="5"/>
        <v>0</v>
      </c>
    </row>
    <row r="30" spans="1:21" x14ac:dyDescent="0.25">
      <c r="A30" s="708" t="s">
        <v>5</v>
      </c>
      <c r="B30" s="708"/>
      <c r="C30" s="94">
        <f>SUM(C14:C29)</f>
        <v>51.51</v>
      </c>
      <c r="D30" s="94">
        <f>SUM(D14:D29)</f>
        <v>0</v>
      </c>
      <c r="E30" s="94">
        <f>SUM(E14:E29)</f>
        <v>103.02</v>
      </c>
      <c r="F30" s="724"/>
      <c r="G30" s="724"/>
      <c r="H30" s="99">
        <f>SUM(H14:H29)</f>
        <v>103.26610000000001</v>
      </c>
      <c r="I30" s="94">
        <f>SUM(I14:I29)</f>
        <v>572970.29999999993</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385027.05</v>
      </c>
      <c r="G51" s="109" t="s">
        <v>6</v>
      </c>
      <c r="H51" s="420">
        <v>5.5899999999999998E-2</v>
      </c>
      <c r="I51" s="101">
        <f>ROUND(F51*H51,2)</f>
        <v>21523.01</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385027.05</v>
      </c>
      <c r="G52" s="109" t="s">
        <v>6</v>
      </c>
      <c r="H52" s="420">
        <v>1.0699999999999999E-2</v>
      </c>
      <c r="I52" s="101">
        <f>ROUND(F52*H52,2)</f>
        <v>4119.79</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25642.799999999999</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5" si="10">IF(D$66=0,C57*2,C57+D57)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7.08</v>
      </c>
      <c r="D63" s="143">
        <v>0</v>
      </c>
      <c r="E63" s="116">
        <f t="shared" si="10"/>
        <v>14.16</v>
      </c>
      <c r="F63" s="463" t="s">
        <v>14</v>
      </c>
      <c r="G63" s="462">
        <v>251</v>
      </c>
      <c r="H63" s="476">
        <f>'1461'!H63</f>
        <v>835</v>
      </c>
      <c r="I63" s="101">
        <f t="shared" si="11"/>
        <v>11823.6</v>
      </c>
      <c r="N63" s="779"/>
      <c r="O63" s="779"/>
      <c r="P63" s="773"/>
      <c r="Q63" s="773"/>
      <c r="R63" s="40" t="s">
        <v>14</v>
      </c>
      <c r="S63" s="468">
        <v>251</v>
      </c>
      <c r="T63" s="479">
        <f t="shared" si="12"/>
        <v>835</v>
      </c>
      <c r="U63" s="493">
        <f t="shared" si="13"/>
        <v>0</v>
      </c>
      <c r="V63" s="443"/>
    </row>
    <row r="64" spans="1:22" x14ac:dyDescent="0.25">
      <c r="A64" s="721"/>
      <c r="B64" s="721"/>
      <c r="C64" s="143">
        <v>1.19</v>
      </c>
      <c r="D64" s="143">
        <v>0</v>
      </c>
      <c r="E64" s="116">
        <f t="shared" si="10"/>
        <v>2.38</v>
      </c>
      <c r="F64" s="463" t="s">
        <v>14</v>
      </c>
      <c r="G64" s="462">
        <v>252</v>
      </c>
      <c r="H64" s="476">
        <f>'1461'!H64</f>
        <v>3168</v>
      </c>
      <c r="I64" s="101">
        <f t="shared" si="11"/>
        <v>7539.84</v>
      </c>
      <c r="N64" s="779"/>
      <c r="O64" s="779"/>
      <c r="P64" s="773"/>
      <c r="Q64" s="773"/>
      <c r="R64" s="40" t="s">
        <v>14</v>
      </c>
      <c r="S64" s="468">
        <v>252</v>
      </c>
      <c r="T64" s="479">
        <f t="shared" si="12"/>
        <v>3168</v>
      </c>
      <c r="U64" s="493">
        <f t="shared" si="13"/>
        <v>0</v>
      </c>
      <c r="V64" s="443"/>
    </row>
    <row r="65" spans="1:22" ht="16.5" thickBot="1" x14ac:dyDescent="0.3">
      <c r="A65" s="721"/>
      <c r="B65" s="721"/>
      <c r="C65" s="143">
        <v>0</v>
      </c>
      <c r="D65" s="143">
        <v>0</v>
      </c>
      <c r="E65" s="116">
        <f t="shared" si="10"/>
        <v>0</v>
      </c>
      <c r="F65" s="463" t="s">
        <v>14</v>
      </c>
      <c r="G65" s="462">
        <v>253</v>
      </c>
      <c r="H65" s="476">
        <f>'1461'!H65</f>
        <v>6685</v>
      </c>
      <c r="I65" s="101">
        <f t="shared" si="11"/>
        <v>0</v>
      </c>
      <c r="N65" s="779"/>
      <c r="O65" s="779"/>
      <c r="P65" s="774"/>
      <c r="Q65" s="774"/>
      <c r="R65" s="40" t="s">
        <v>14</v>
      </c>
      <c r="S65" s="468">
        <v>253</v>
      </c>
      <c r="T65" s="479">
        <f t="shared" si="12"/>
        <v>6685</v>
      </c>
      <c r="U65" s="494">
        <f t="shared" si="13"/>
        <v>0</v>
      </c>
      <c r="V65" s="443"/>
    </row>
    <row r="66" spans="1:22" ht="16.5" thickBot="1" x14ac:dyDescent="0.3">
      <c r="A66" s="459"/>
      <c r="C66" s="97">
        <f>SUM(C57:C65)</f>
        <v>8.27</v>
      </c>
      <c r="D66" s="97">
        <f>SUM(D57:D65)</f>
        <v>0</v>
      </c>
      <c r="E66" s="97">
        <f>SUM(E57:E65)</f>
        <v>16.54</v>
      </c>
      <c r="F66" s="708" t="s">
        <v>464</v>
      </c>
      <c r="G66" s="708"/>
      <c r="H66" s="708"/>
      <c r="I66" s="97">
        <f>SUM(I57:I65)</f>
        <v>19363.440000000002</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103.02</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4.8999999999999998E-4</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103.26610000000001</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4.4000000000000002E-4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103.02</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5.4900000000000001E-4</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103.02</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4.9100000000000001E-4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103.02</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5.5000000000000003E-4</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4.9100000000000001E-4</v>
      </c>
      <c r="I85" s="101">
        <f>ROUND(F85*H85,2)</f>
        <v>22666.38</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4.8999999999999998E-4</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5.5000000000000003E-4</v>
      </c>
      <c r="I90" s="101">
        <f>ROUND(F90*H90,2)</f>
        <v>10473.11</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5.4900000000000001E-4</v>
      </c>
      <c r="I92" s="101">
        <f t="shared" ref="I92:I96" si="14">ROUND(F92*H92,2)</f>
        <v>6281.19</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4.4000000000000002E-4</v>
      </c>
      <c r="I94" s="101">
        <f t="shared" si="14"/>
        <v>112533</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4.4000000000000002E-4</v>
      </c>
      <c r="I96" s="101">
        <f t="shared" si="14"/>
        <v>-697.65</v>
      </c>
      <c r="N96" s="746" t="s">
        <v>439</v>
      </c>
      <c r="O96" s="747"/>
      <c r="P96" s="747"/>
      <c r="Q96" s="44"/>
      <c r="R96" s="438">
        <f t="shared" si="15"/>
        <v>-1585559</v>
      </c>
      <c r="S96" s="38" t="s">
        <v>6</v>
      </c>
      <c r="T96" s="440">
        <f>T73</f>
        <v>0</v>
      </c>
      <c r="U96" s="492">
        <f>ROUND(R96*T96,2)</f>
        <v>0</v>
      </c>
    </row>
    <row r="97" spans="1:21" x14ac:dyDescent="0.25">
      <c r="A97" s="81"/>
      <c r="B97" s="69"/>
      <c r="C97" s="69"/>
      <c r="D97" s="69"/>
      <c r="E97" s="43"/>
      <c r="F97" s="117"/>
      <c r="G97" s="37"/>
      <c r="H97" s="441"/>
      <c r="I97" s="101"/>
      <c r="N97" s="402"/>
      <c r="O97" s="45"/>
      <c r="P97" s="45"/>
      <c r="Q97" s="44"/>
      <c r="R97" s="439"/>
      <c r="S97" s="38"/>
      <c r="T97" s="440"/>
      <c r="U97" s="103"/>
    </row>
    <row r="98" spans="1:21" x14ac:dyDescent="0.25">
      <c r="A98" s="548" t="s">
        <v>513</v>
      </c>
      <c r="B98" s="547"/>
      <c r="C98" s="547"/>
      <c r="D98" s="547"/>
      <c r="E98" s="545" t="s">
        <v>3</v>
      </c>
      <c r="F98" s="289">
        <v>0</v>
      </c>
      <c r="G98" s="546" t="s">
        <v>6</v>
      </c>
      <c r="H98" s="441">
        <f>H70</f>
        <v>4.8999999999999998E-4</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103.26610000000001</v>
      </c>
      <c r="D106" s="703"/>
      <c r="E106" s="46">
        <f>H8</f>
        <v>1.0407999999999999</v>
      </c>
      <c r="F106" s="302">
        <f>'1461'!F106</f>
        <v>910.12</v>
      </c>
      <c r="G106" s="39" t="s">
        <v>12</v>
      </c>
      <c r="H106" s="94">
        <f>ROUND(C106*E106*F106,2)</f>
        <v>97819.11</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103.26610000000001</v>
      </c>
      <c r="D107" s="716"/>
      <c r="E107" s="123"/>
      <c r="F107" s="123"/>
      <c r="G107" s="123"/>
      <c r="H107" s="124" t="s">
        <v>100</v>
      </c>
      <c r="I107" s="101">
        <f>IF(A1=75,0,H106+H105+H104)</f>
        <v>97819.11</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17" t="s">
        <v>399</v>
      </c>
      <c r="B113" s="738"/>
      <c r="C113" s="143">
        <v>0</v>
      </c>
      <c r="D113" s="143">
        <v>0</v>
      </c>
      <c r="E113" s="116">
        <f>(C113+D113)/2</f>
        <v>0</v>
      </c>
      <c r="F113" s="126" t="s">
        <v>30</v>
      </c>
      <c r="G113" s="303">
        <f>'1461'!G113</f>
        <v>567</v>
      </c>
      <c r="I113" s="101">
        <f>ROUND(G113*E113,2)</f>
        <v>0</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841408.87999999989</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815766.07999999984</v>
      </c>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518</v>
      </c>
      <c r="B132" s="705"/>
      <c r="C132" s="705"/>
      <c r="D132" s="705"/>
      <c r="E132" s="705"/>
      <c r="F132" s="705"/>
      <c r="G132" s="705"/>
      <c r="H132" s="81" t="s">
        <v>351</v>
      </c>
      <c r="I132" s="134"/>
      <c r="N132" s="746" t="s">
        <v>518</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747" t="s">
        <v>70</v>
      </c>
      <c r="O133" s="747"/>
      <c r="P133" s="747"/>
      <c r="Q133" s="747"/>
      <c r="R133" s="747"/>
      <c r="S133" s="747"/>
      <c r="T133" s="747"/>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815766.07999999984</v>
      </c>
      <c r="I135" s="94">
        <f>ROUND(IF(E30=0,0,IF(E30&gt;250,-(((250/E30)*H135)*IF(G135="H",0.02,0.05)),IF(G135="H",-0.02*H135,-0.05*H135))),2)</f>
        <v>-40788.300000000003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800620.57999999984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-222242.55000000002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578378.0299999998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82625.429999999993</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390</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391</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392</v>
      </c>
      <c r="B155" s="251"/>
      <c r="C155" s="251"/>
      <c r="D155" s="251"/>
      <c r="E155" s="251"/>
      <c r="F155" s="251"/>
      <c r="G155" s="251"/>
      <c r="H155" s="251"/>
      <c r="I155" s="251"/>
      <c r="N155" s="745"/>
      <c r="O155" s="745"/>
      <c r="P155" s="745"/>
      <c r="Q155" s="745"/>
      <c r="R155" s="745"/>
      <c r="S155" s="745"/>
      <c r="T155" s="745"/>
      <c r="U155" s="745"/>
    </row>
    <row r="156" spans="1:21" s="76" customFormat="1" x14ac:dyDescent="0.2">
      <c r="A156" s="336" t="s">
        <v>393</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394</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395</v>
      </c>
      <c r="B158" s="251"/>
      <c r="C158" s="251"/>
      <c r="D158" s="251"/>
      <c r="E158" s="251"/>
      <c r="F158" s="251"/>
      <c r="G158" s="251"/>
      <c r="H158" s="251"/>
      <c r="I158" s="251"/>
      <c r="N158" s="78"/>
    </row>
    <row r="159" spans="1:21" s="76" customFormat="1" x14ac:dyDescent="0.2">
      <c r="A159" s="336" t="s">
        <v>397</v>
      </c>
      <c r="B159" s="251"/>
      <c r="C159" s="251"/>
      <c r="D159" s="251"/>
      <c r="E159" s="251"/>
      <c r="F159" s="251"/>
      <c r="G159" s="251"/>
      <c r="H159" s="251"/>
      <c r="I159" s="251"/>
      <c r="N159" s="78"/>
    </row>
    <row r="160" spans="1:21" s="76" customFormat="1" x14ac:dyDescent="0.2">
      <c r="A160" s="404" t="s">
        <v>396</v>
      </c>
      <c r="B160" s="251"/>
      <c r="C160" s="251"/>
      <c r="D160" s="251"/>
      <c r="E160" s="251"/>
      <c r="F160" s="251"/>
      <c r="G160" s="251"/>
      <c r="H160" s="251"/>
      <c r="I160" s="251"/>
      <c r="N160" s="78"/>
    </row>
    <row r="161" spans="1:14" s="76" customFormat="1" x14ac:dyDescent="0.2">
      <c r="A161" s="336" t="s">
        <v>398</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401</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403</v>
      </c>
      <c r="B165" s="292"/>
      <c r="C165" s="292"/>
      <c r="D165" s="292"/>
      <c r="E165" s="292"/>
      <c r="F165" s="292"/>
      <c r="G165" s="292"/>
      <c r="H165" s="292"/>
      <c r="I165" s="292"/>
      <c r="N165" s="78"/>
    </row>
    <row r="166" spans="1:14" s="76" customFormat="1" ht="15.75" customHeight="1" x14ac:dyDescent="0.2">
      <c r="A166" s="364" t="s">
        <v>402</v>
      </c>
      <c r="B166" s="292"/>
      <c r="C166" s="292"/>
      <c r="D166" s="292"/>
      <c r="E166" s="292"/>
      <c r="F166" s="292"/>
      <c r="G166" s="292"/>
      <c r="H166" s="292"/>
      <c r="I166" s="292"/>
      <c r="N166" s="78"/>
    </row>
    <row r="167" spans="1:14" s="76" customFormat="1" ht="15.75" customHeight="1" x14ac:dyDescent="0.2">
      <c r="A167" s="336" t="s">
        <v>404</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406</v>
      </c>
      <c r="B169" s="356"/>
      <c r="C169" s="356"/>
      <c r="D169" s="356"/>
      <c r="E169" s="356"/>
      <c r="F169" s="356"/>
      <c r="G169" s="356"/>
      <c r="H169" s="356"/>
      <c r="I169" s="356"/>
      <c r="N169" s="78"/>
    </row>
    <row r="170" spans="1:14" s="76" customFormat="1" ht="15.75" customHeight="1" x14ac:dyDescent="0.2">
      <c r="A170" s="364" t="s">
        <v>405</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407</v>
      </c>
      <c r="B175" s="292"/>
      <c r="C175" s="292"/>
      <c r="D175" s="292"/>
      <c r="E175" s="292"/>
      <c r="F175" s="292"/>
      <c r="G175" s="292"/>
      <c r="H175" s="292"/>
      <c r="I175" s="292"/>
      <c r="J175" s="3"/>
      <c r="K175" s="3"/>
      <c r="L175" s="3"/>
      <c r="M175" s="3"/>
      <c r="N175" s="78"/>
    </row>
    <row r="176" spans="1:14" s="76" customFormat="1" ht="15.75" customHeight="1" x14ac:dyDescent="0.2">
      <c r="A176" s="374" t="s">
        <v>408</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December 2024</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79BCC-F1EF-406A-A6BB-13DD52939AC8}">
  <sheetPr>
    <tabColor rgb="FFFFCCCC"/>
  </sheetPr>
  <dimension ref="A1:V246"/>
  <sheetViews>
    <sheetView workbookViewId="0">
      <selection activeCell="C57" sqref="C57"/>
    </sheetView>
  </sheetViews>
  <sheetFormatPr defaultColWidth="9.140625" defaultRowHeight="15.75" x14ac:dyDescent="0.25"/>
  <cols>
    <col min="1" max="1" width="10.28515625" style="619"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8" t="s">
        <v>15</v>
      </c>
      <c r="C1" s="729"/>
      <c r="D1" s="729"/>
      <c r="E1" s="729"/>
      <c r="F1" s="729"/>
      <c r="G1" s="729"/>
      <c r="H1" s="729"/>
      <c r="I1" s="729"/>
      <c r="J1" s="135"/>
      <c r="K1" s="135"/>
      <c r="L1" s="135"/>
      <c r="N1" s="82">
        <f>A1</f>
        <v>50</v>
      </c>
      <c r="O1" s="809" t="s">
        <v>15</v>
      </c>
      <c r="P1" s="810"/>
      <c r="Q1" s="810"/>
      <c r="R1" s="810"/>
      <c r="S1" s="810"/>
      <c r="T1" s="810"/>
      <c r="U1" s="810"/>
    </row>
    <row r="2" spans="1:21" ht="21" x14ac:dyDescent="0.35">
      <c r="A2" s="1" t="s">
        <v>539</v>
      </c>
      <c r="B2" s="2"/>
      <c r="C2" s="2"/>
      <c r="D2" s="2"/>
      <c r="E2" s="2"/>
      <c r="F2" s="2"/>
      <c r="G2" s="2"/>
      <c r="H2" s="2"/>
      <c r="I2" s="2"/>
      <c r="N2" s="811" t="s">
        <v>18</v>
      </c>
      <c r="O2" s="811"/>
      <c r="P2" s="811"/>
      <c r="Q2" s="811"/>
      <c r="R2" s="811"/>
      <c r="S2" s="811"/>
      <c r="T2" s="811"/>
      <c r="U2" s="811"/>
    </row>
    <row r="3" spans="1:21" x14ac:dyDescent="0.25">
      <c r="A3" s="253" t="s">
        <v>526</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633"/>
      <c r="O5" s="633"/>
      <c r="P5" s="634"/>
      <c r="Q5" s="634"/>
      <c r="R5" s="5"/>
      <c r="S5" s="5"/>
      <c r="T5" s="5"/>
      <c r="U5" s="5"/>
    </row>
    <row r="6" spans="1:21" ht="12" customHeight="1" x14ac:dyDescent="0.25">
      <c r="A6" s="635"/>
      <c r="B6" s="635"/>
      <c r="C6" s="628"/>
      <c r="D6" s="628"/>
      <c r="E6" s="628"/>
      <c r="F6" s="4"/>
      <c r="G6" s="4"/>
      <c r="H6" s="4"/>
      <c r="I6" s="4"/>
      <c r="N6" s="633"/>
      <c r="O6" s="633"/>
      <c r="P6" s="634"/>
      <c r="Q6" s="634"/>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v>5330.98</v>
      </c>
      <c r="D8" s="86"/>
      <c r="E8" s="87"/>
      <c r="F8" s="84"/>
      <c r="G8" s="85" t="s">
        <v>411</v>
      </c>
      <c r="H8" s="286">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v>1</v>
      </c>
      <c r="I9" s="75"/>
      <c r="N9" s="636"/>
      <c r="O9" s="636"/>
      <c r="P9" s="637"/>
      <c r="Q9" s="637"/>
      <c r="R9" s="640" t="s">
        <v>410</v>
      </c>
      <c r="S9" s="640"/>
      <c r="T9" s="808">
        <f>H9</f>
        <v>1</v>
      </c>
      <c r="U9" s="808"/>
    </row>
    <row r="10" spans="1:21" x14ac:dyDescent="0.25">
      <c r="A10" s="7"/>
      <c r="B10" s="7" t="s">
        <v>328</v>
      </c>
      <c r="C10" s="8" t="s">
        <v>328</v>
      </c>
      <c r="D10" s="8" t="s">
        <v>328</v>
      </c>
      <c r="E10" s="8"/>
      <c r="F10" s="9"/>
      <c r="G10" s="9"/>
      <c r="H10" s="10"/>
      <c r="I10" s="341" t="s">
        <v>525</v>
      </c>
      <c r="N10" s="636"/>
      <c r="O10" s="636"/>
      <c r="P10" s="637"/>
      <c r="Q10" s="637"/>
      <c r="R10" s="14"/>
      <c r="S10" s="14"/>
      <c r="T10" s="15"/>
      <c r="U10" s="384" t="str">
        <f>I10</f>
        <v>2024-25</v>
      </c>
    </row>
    <row r="11" spans="1:21" x14ac:dyDescent="0.25">
      <c r="A11" s="7"/>
      <c r="B11" s="7"/>
      <c r="C11" s="88" t="s">
        <v>534</v>
      </c>
      <c r="D11" s="349" t="s">
        <v>535</v>
      </c>
      <c r="E11" s="89" t="s">
        <v>8</v>
      </c>
      <c r="F11" s="733" t="s">
        <v>1</v>
      </c>
      <c r="G11" s="733"/>
      <c r="H11" s="10" t="s">
        <v>60</v>
      </c>
      <c r="I11" s="11" t="s">
        <v>27</v>
      </c>
      <c r="N11" s="636"/>
      <c r="O11" s="636"/>
      <c r="P11" s="637"/>
      <c r="Q11" s="637"/>
      <c r="R11" s="799" t="s">
        <v>1</v>
      </c>
      <c r="S11" s="799"/>
      <c r="T11" s="15" t="s">
        <v>60</v>
      </c>
      <c r="U11" s="16" t="s">
        <v>27</v>
      </c>
    </row>
    <row r="12" spans="1:21" ht="15.75" customHeight="1" x14ac:dyDescent="0.25">
      <c r="A12" s="36" t="s">
        <v>1</v>
      </c>
      <c r="B12" s="36"/>
      <c r="C12" s="340" t="s">
        <v>2</v>
      </c>
      <c r="D12" s="340" t="s">
        <v>2</v>
      </c>
      <c r="E12" s="9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629"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c r="D14" s="141">
        <v>0</v>
      </c>
      <c r="E14" s="187">
        <f>IF(D$30=0,C14*2,C14+D14)</f>
        <v>0</v>
      </c>
      <c r="F14" s="797">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c r="D15" s="143">
        <v>0</v>
      </c>
      <c r="E15" s="116">
        <f t="shared" ref="E15:E29" si="1">IF(D$30=0,C15*2,C15+D15)</f>
        <v>0</v>
      </c>
      <c r="F15" s="788">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10.5</v>
      </c>
      <c r="D16" s="143">
        <v>0</v>
      </c>
      <c r="E16" s="116">
        <f t="shared" si="1"/>
        <v>21</v>
      </c>
      <c r="F16" s="788">
        <v>1</v>
      </c>
      <c r="G16" s="788"/>
      <c r="H16" s="80">
        <f t="shared" si="2"/>
        <v>21</v>
      </c>
      <c r="I16" s="101">
        <f>ROUND(ROUND(ROUND(H16*$C$8,4)*($H$8),2)*(MAX($H$9,1)),2)</f>
        <v>116518.16</v>
      </c>
      <c r="K16" s="236"/>
      <c r="N16" s="747" t="s">
        <v>22</v>
      </c>
      <c r="O16" s="747"/>
      <c r="P16" s="789">
        <f t="shared" si="0"/>
        <v>0</v>
      </c>
      <c r="Q16" s="789"/>
      <c r="R16" s="793">
        <v>1</v>
      </c>
      <c r="S16" s="793"/>
      <c r="T16" s="95">
        <f t="shared" si="4"/>
        <v>0</v>
      </c>
      <c r="U16" s="492">
        <f t="shared" si="5"/>
        <v>0</v>
      </c>
    </row>
    <row r="17" spans="1:21" x14ac:dyDescent="0.25">
      <c r="A17" s="705" t="s">
        <v>23</v>
      </c>
      <c r="B17" s="705"/>
      <c r="C17" s="143">
        <v>5</v>
      </c>
      <c r="D17" s="143">
        <v>0</v>
      </c>
      <c r="E17" s="116">
        <f t="shared" si="1"/>
        <v>10</v>
      </c>
      <c r="F17" s="788">
        <v>1</v>
      </c>
      <c r="G17" s="788"/>
      <c r="H17" s="80">
        <f t="shared" si="2"/>
        <v>10</v>
      </c>
      <c r="I17" s="101">
        <f t="shared" si="3"/>
        <v>55484.84</v>
      </c>
      <c r="J17" s="65" t="str">
        <f>IF(ROUND(E17,2)=ROUND(SUM(E60:E62),2)," ","CHECK 4-8 LINES BELOW")</f>
        <v xml:space="preserve"> </v>
      </c>
      <c r="K17" s="236"/>
      <c r="N17" s="747" t="s">
        <v>23</v>
      </c>
      <c r="O17" s="747"/>
      <c r="P17" s="789">
        <f t="shared" si="0"/>
        <v>0</v>
      </c>
      <c r="Q17" s="789"/>
      <c r="R17" s="793">
        <v>1</v>
      </c>
      <c r="S17" s="793"/>
      <c r="T17" s="95">
        <f t="shared" si="4"/>
        <v>0</v>
      </c>
      <c r="U17" s="492">
        <f t="shared" si="5"/>
        <v>0</v>
      </c>
    </row>
    <row r="18" spans="1:21" x14ac:dyDescent="0.25">
      <c r="A18" s="705" t="s">
        <v>24</v>
      </c>
      <c r="B18" s="705"/>
      <c r="C18" s="143"/>
      <c r="D18" s="143">
        <v>0</v>
      </c>
      <c r="E18" s="116">
        <f>IF(D$30=0,C18*2,C18+D18)</f>
        <v>0</v>
      </c>
      <c r="F18" s="788">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c r="D19" s="143">
        <v>0</v>
      </c>
      <c r="E19" s="116">
        <f t="shared" si="1"/>
        <v>0</v>
      </c>
      <c r="F19" s="788">
        <v>0.97799999999999998</v>
      </c>
      <c r="G19" s="788"/>
      <c r="H19" s="80">
        <f>ROUND(E19*F19,4)</f>
        <v>0</v>
      </c>
      <c r="I19" s="101">
        <f>ROUND(ROUND(ROUND(H19*$C$8,4)*($H$8),2)*(MAX($H$9,1)),2)</f>
        <v>0</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c r="D20" s="143">
        <v>0</v>
      </c>
      <c r="E20" s="116">
        <f t="shared" si="1"/>
        <v>0</v>
      </c>
      <c r="F20" s="788">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c r="D21" s="143">
        <v>0</v>
      </c>
      <c r="E21" s="116">
        <f t="shared" si="1"/>
        <v>0</v>
      </c>
      <c r="F21" s="788">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c r="D22" s="143"/>
      <c r="E22" s="116">
        <f t="shared" si="1"/>
        <v>0</v>
      </c>
      <c r="F22" s="788">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c r="D23" s="143">
        <v>0</v>
      </c>
      <c r="E23" s="116">
        <f t="shared" si="1"/>
        <v>0</v>
      </c>
      <c r="F23" s="788">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c r="D24" s="143">
        <v>0</v>
      </c>
      <c r="E24" s="116">
        <f t="shared" si="1"/>
        <v>0</v>
      </c>
      <c r="F24" s="788">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c r="D25" s="143"/>
      <c r="E25" s="116">
        <f t="shared" si="1"/>
        <v>0</v>
      </c>
      <c r="F25" s="788">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c r="D26" s="143">
        <v>0</v>
      </c>
      <c r="E26" s="116">
        <f t="shared" si="1"/>
        <v>0</v>
      </c>
      <c r="F26" s="788">
        <v>1.1919999999999999</v>
      </c>
      <c r="G26" s="788"/>
      <c r="H26" s="80">
        <f t="shared" si="2"/>
        <v>0</v>
      </c>
      <c r="I26" s="101">
        <f t="shared" si="3"/>
        <v>0</v>
      </c>
      <c r="L26" s="250"/>
      <c r="N26" s="747" t="s">
        <v>85</v>
      </c>
      <c r="O26" s="747"/>
      <c r="P26" s="789">
        <f t="shared" si="0"/>
        <v>0</v>
      </c>
      <c r="Q26" s="789"/>
      <c r="R26" s="793">
        <v>1</v>
      </c>
      <c r="S26" s="793"/>
      <c r="T26" s="95">
        <f t="shared" si="4"/>
        <v>0</v>
      </c>
      <c r="U26" s="492">
        <f t="shared" si="5"/>
        <v>0</v>
      </c>
    </row>
    <row r="27" spans="1:21" x14ac:dyDescent="0.25">
      <c r="A27" s="705" t="s">
        <v>86</v>
      </c>
      <c r="B27" s="705"/>
      <c r="C27" s="143">
        <v>2.5</v>
      </c>
      <c r="D27" s="143">
        <v>0</v>
      </c>
      <c r="E27" s="116">
        <f t="shared" si="1"/>
        <v>5</v>
      </c>
      <c r="F27" s="788">
        <v>1.1919999999999999</v>
      </c>
      <c r="G27" s="788"/>
      <c r="H27" s="80">
        <f t="shared" si="2"/>
        <v>5.96</v>
      </c>
      <c r="I27" s="101">
        <f t="shared" si="3"/>
        <v>33068.959999999999</v>
      </c>
      <c r="L27" s="250"/>
      <c r="N27" s="747" t="s">
        <v>86</v>
      </c>
      <c r="O27" s="747"/>
      <c r="P27" s="789">
        <f t="shared" si="0"/>
        <v>0</v>
      </c>
      <c r="Q27" s="789"/>
      <c r="R27" s="793">
        <v>1</v>
      </c>
      <c r="S27" s="793"/>
      <c r="T27" s="95">
        <f t="shared" si="4"/>
        <v>0</v>
      </c>
      <c r="U27" s="492">
        <f t="shared" si="5"/>
        <v>0</v>
      </c>
    </row>
    <row r="28" spans="1:21" x14ac:dyDescent="0.25">
      <c r="A28" s="705" t="s">
        <v>87</v>
      </c>
      <c r="B28" s="705"/>
      <c r="C28" s="143"/>
      <c r="D28" s="143">
        <v>0</v>
      </c>
      <c r="E28" s="116">
        <f t="shared" si="1"/>
        <v>0</v>
      </c>
      <c r="F28" s="788">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c r="D29" s="110">
        <v>0</v>
      </c>
      <c r="E29" s="154">
        <f t="shared" si="1"/>
        <v>0</v>
      </c>
      <c r="F29" s="788">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18</v>
      </c>
      <c r="D30" s="94">
        <f>SUM(D14:D29)</f>
        <v>0</v>
      </c>
      <c r="E30" s="94">
        <f>SUM(E14:E29)</f>
        <v>36</v>
      </c>
      <c r="F30" s="724"/>
      <c r="G30" s="724"/>
      <c r="H30" s="99">
        <f>SUM(H14:H29)</f>
        <v>36.96</v>
      </c>
      <c r="I30" s="94">
        <f>SUM(I14:I29)</f>
        <v>205071.96</v>
      </c>
      <c r="N30" s="791" t="s">
        <v>5</v>
      </c>
      <c r="O30" s="791"/>
      <c r="P30" s="792">
        <f>SUM(P14:P29)</f>
        <v>0</v>
      </c>
      <c r="Q30" s="792"/>
      <c r="R30" s="781"/>
      <c r="S30" s="781"/>
      <c r="T30" s="100">
        <f>SUM(T14:T29)</f>
        <v>0</v>
      </c>
      <c r="U30" s="492">
        <f>SUM(U14:U29)</f>
        <v>0</v>
      </c>
    </row>
    <row r="31" spans="1:21" x14ac:dyDescent="0.25">
      <c r="A31" s="621"/>
      <c r="B31" s="621"/>
      <c r="C31" s="101"/>
      <c r="D31" s="101"/>
      <c r="E31" s="101"/>
      <c r="F31" s="626"/>
      <c r="G31" s="626"/>
      <c r="H31" s="80"/>
      <c r="I31" s="101"/>
      <c r="N31" s="648"/>
      <c r="O31" s="648"/>
      <c r="P31" s="29"/>
      <c r="Q31" s="29"/>
      <c r="R31" s="641"/>
      <c r="S31" s="641"/>
      <c r="T31" s="102"/>
      <c r="U31" s="103"/>
    </row>
    <row r="32" spans="1:21" hidden="1" x14ac:dyDescent="0.25">
      <c r="A32" s="281" t="s">
        <v>251</v>
      </c>
      <c r="B32" s="621"/>
      <c r="C32" s="101"/>
      <c r="D32" s="101"/>
      <c r="E32" s="101"/>
      <c r="F32" s="626"/>
      <c r="G32" s="626"/>
      <c r="H32" s="80"/>
      <c r="I32" s="101"/>
      <c r="N32" s="648"/>
      <c r="O32" s="648"/>
      <c r="P32" s="29"/>
      <c r="Q32" s="29"/>
      <c r="R32" s="641"/>
      <c r="S32" s="641"/>
      <c r="T32" s="102"/>
      <c r="U32" s="103"/>
    </row>
    <row r="33" spans="1:21" hidden="1" x14ac:dyDescent="0.25">
      <c r="A33" s="146"/>
      <c r="B33" s="621"/>
      <c r="C33" s="101"/>
      <c r="D33" s="101"/>
      <c r="E33" s="101"/>
      <c r="F33" s="626"/>
      <c r="G33" s="626"/>
      <c r="H33" s="80"/>
      <c r="I33" s="101"/>
      <c r="N33" s="648"/>
      <c r="O33" s="648"/>
      <c r="P33" s="29"/>
      <c r="Q33" s="29"/>
      <c r="R33" s="641"/>
      <c r="S33" s="641"/>
      <c r="T33" s="102"/>
      <c r="U33" s="103"/>
    </row>
    <row r="34" spans="1:21" hidden="1" x14ac:dyDescent="0.25">
      <c r="A34" s="146"/>
      <c r="B34" s="621"/>
      <c r="C34" s="101"/>
      <c r="D34" s="101"/>
      <c r="E34" s="101"/>
      <c r="F34" s="783" t="s">
        <v>232</v>
      </c>
      <c r="G34" s="783"/>
      <c r="H34" s="783"/>
      <c r="I34" s="101"/>
      <c r="N34" s="648"/>
      <c r="O34" s="648"/>
      <c r="P34" s="29"/>
      <c r="Q34" s="29"/>
      <c r="R34" s="641"/>
      <c r="S34" s="641"/>
      <c r="T34" s="102"/>
      <c r="U34" s="103"/>
    </row>
    <row r="35" spans="1:21" ht="15.6" hidden="1" customHeight="1" x14ac:dyDescent="0.25">
      <c r="A35" s="3"/>
      <c r="B35" s="619"/>
      <c r="C35" s="619"/>
      <c r="D35" s="619"/>
      <c r="E35" s="619"/>
      <c r="F35" s="783"/>
      <c r="G35" s="783"/>
      <c r="H35" s="783"/>
      <c r="I35" s="24" t="str">
        <f>I10</f>
        <v>2024-25</v>
      </c>
      <c r="N35" s="751" t="s">
        <v>26</v>
      </c>
      <c r="O35" s="751"/>
      <c r="P35" s="751"/>
      <c r="Q35" s="751"/>
      <c r="R35" s="751"/>
      <c r="S35" s="751"/>
      <c r="T35" s="751"/>
      <c r="U35" s="25" t="str">
        <f>I35</f>
        <v>2024-25</v>
      </c>
    </row>
    <row r="36" spans="1:21" hidden="1" x14ac:dyDescent="0.25">
      <c r="A36" s="621"/>
      <c r="B36" s="621"/>
      <c r="C36" s="88" t="s">
        <v>334</v>
      </c>
      <c r="D36" s="88"/>
      <c r="E36" s="89" t="s">
        <v>8</v>
      </c>
      <c r="F36" s="783"/>
      <c r="G36" s="783"/>
      <c r="H36" s="783"/>
      <c r="I36" s="24" t="s">
        <v>27</v>
      </c>
      <c r="N36" s="648"/>
      <c r="O36" s="648"/>
      <c r="P36" s="29"/>
      <c r="Q36" s="29"/>
      <c r="R36" s="641"/>
      <c r="S36" s="641"/>
      <c r="T36" s="102"/>
      <c r="U36" s="25" t="s">
        <v>27</v>
      </c>
    </row>
    <row r="37" spans="1:21" ht="26.25" hidden="1" x14ac:dyDescent="0.25">
      <c r="A37" s="725" t="s">
        <v>50</v>
      </c>
      <c r="B37" s="725"/>
      <c r="C37" s="340" t="s">
        <v>2</v>
      </c>
      <c r="D37" s="340"/>
      <c r="E37" s="90" t="s">
        <v>2</v>
      </c>
      <c r="F37" s="784"/>
      <c r="G37" s="784"/>
      <c r="H37" s="784"/>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648"/>
      <c r="O45" s="648"/>
      <c r="P45" s="648"/>
      <c r="Q45" s="648"/>
      <c r="R45" s="33"/>
      <c r="S45" s="641"/>
      <c r="T45" s="641"/>
      <c r="U45" s="103"/>
    </row>
    <row r="46" spans="1:21" ht="16.5" hidden="1" thickBot="1" x14ac:dyDescent="0.3">
      <c r="A46" s="3"/>
      <c r="B46" s="52" t="s">
        <v>96</v>
      </c>
      <c r="E46" s="152">
        <f>H30+E44</f>
        <v>36.96</v>
      </c>
      <c r="F46" s="34"/>
      <c r="G46" s="106"/>
      <c r="H46" s="107" t="s">
        <v>98</v>
      </c>
      <c r="I46" s="94">
        <f>SUM(I44,I30)</f>
        <v>205071.96</v>
      </c>
      <c r="N46" s="776" t="s">
        <v>44</v>
      </c>
      <c r="O46" s="776"/>
      <c r="P46" s="776"/>
      <c r="Q46" s="776"/>
      <c r="R46" s="35">
        <f>R44+T30</f>
        <v>0</v>
      </c>
      <c r="S46" s="781" t="s">
        <v>42</v>
      </c>
      <c r="T46" s="781"/>
      <c r="U46" s="108">
        <f>SUM(U44,U30)</f>
        <v>0</v>
      </c>
    </row>
    <row r="47" spans="1:21" ht="16.5" hidden="1" thickTop="1" x14ac:dyDescent="0.25">
      <c r="A47" s="621"/>
      <c r="B47" s="621"/>
      <c r="C47" s="621"/>
      <c r="D47" s="621"/>
      <c r="E47" s="621"/>
      <c r="F47" s="34"/>
      <c r="G47" s="626"/>
      <c r="H47" s="626"/>
      <c r="I47" s="101"/>
      <c r="N47" s="648"/>
      <c r="O47" s="648"/>
      <c r="P47" s="648"/>
      <c r="Q47" s="648"/>
      <c r="R47" s="35"/>
      <c r="S47" s="641"/>
      <c r="T47" s="641"/>
      <c r="U47" s="103"/>
    </row>
    <row r="48" spans="1:21" x14ac:dyDescent="0.25">
      <c r="A48" s="618" t="s">
        <v>414</v>
      </c>
      <c r="B48" s="621"/>
      <c r="C48" s="621"/>
      <c r="D48" s="621"/>
      <c r="E48" s="621"/>
      <c r="F48" s="34"/>
      <c r="G48" s="626"/>
      <c r="H48" s="626"/>
      <c r="I48" s="101"/>
      <c r="N48" s="643" t="s">
        <v>414</v>
      </c>
      <c r="O48" s="648"/>
      <c r="P48" s="648"/>
      <c r="Q48" s="648"/>
      <c r="R48" s="35"/>
      <c r="S48" s="641"/>
      <c r="T48" s="641"/>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1" t="s">
        <v>416</v>
      </c>
      <c r="F50" s="411"/>
      <c r="G50" s="412"/>
      <c r="H50" s="412"/>
      <c r="I50" s="413"/>
      <c r="N50" s="431" t="s">
        <v>416</v>
      </c>
      <c r="O50" s="414"/>
      <c r="P50" s="414"/>
      <c r="Q50" s="414"/>
      <c r="R50" s="415"/>
      <c r="S50" s="416"/>
      <c r="T50" s="416"/>
      <c r="U50" s="423"/>
    </row>
    <row r="51" spans="1:22" x14ac:dyDescent="0.25">
      <c r="A51" s="408"/>
      <c r="B51" s="3" t="s">
        <v>528</v>
      </c>
      <c r="C51" s="621"/>
      <c r="D51" s="621"/>
      <c r="E51" s="631" t="s">
        <v>417</v>
      </c>
      <c r="F51" s="419">
        <v>205071.96</v>
      </c>
      <c r="G51" s="109" t="s">
        <v>6</v>
      </c>
      <c r="H51" s="420">
        <v>5.5899999999999998E-2</v>
      </c>
      <c r="I51" s="101">
        <f>ROUND(F51*H51,2)</f>
        <v>11463.52</v>
      </c>
      <c r="N51" s="425"/>
      <c r="O51" s="51" t="s">
        <v>527</v>
      </c>
      <c r="P51" s="648"/>
      <c r="Q51" s="44" t="s">
        <v>417</v>
      </c>
      <c r="R51" s="427">
        <f>U30</f>
        <v>0</v>
      </c>
      <c r="S51" s="428" t="s">
        <v>6</v>
      </c>
      <c r="T51" s="429">
        <v>5.5899999999999998E-2</v>
      </c>
      <c r="U51" s="421">
        <f>ROUND(R51*T51,2)</f>
        <v>0</v>
      </c>
    </row>
    <row r="52" spans="1:22" x14ac:dyDescent="0.25">
      <c r="A52" s="621"/>
      <c r="B52" s="618" t="s">
        <v>532</v>
      </c>
      <c r="C52" s="621"/>
      <c r="D52" s="621"/>
      <c r="E52" s="631" t="s">
        <v>417</v>
      </c>
      <c r="F52" s="419">
        <v>205071.96</v>
      </c>
      <c r="G52" s="109" t="s">
        <v>6</v>
      </c>
      <c r="H52" s="420">
        <v>1.0699999999999999E-2</v>
      </c>
      <c r="I52" s="101">
        <v>0</v>
      </c>
      <c r="N52" s="648"/>
      <c r="O52" s="643" t="s">
        <v>531</v>
      </c>
      <c r="P52" s="648"/>
      <c r="Q52" s="44" t="s">
        <v>417</v>
      </c>
      <c r="R52" s="427">
        <f>U30</f>
        <v>0</v>
      </c>
      <c r="S52" s="428" t="s">
        <v>6</v>
      </c>
      <c r="T52" s="429">
        <v>1.0699999999999999E-2</v>
      </c>
      <c r="U52" s="430">
        <f>ROUND(R52*T52,2)</f>
        <v>0</v>
      </c>
    </row>
    <row r="53" spans="1:22" x14ac:dyDescent="0.25">
      <c r="A53" s="621"/>
      <c r="B53" s="618" t="s">
        <v>418</v>
      </c>
      <c r="C53" s="621"/>
      <c r="D53" s="621"/>
      <c r="E53" s="631"/>
      <c r="F53" s="419"/>
      <c r="G53" s="109"/>
      <c r="H53" s="420"/>
      <c r="I53" s="97">
        <f>SUM(I51:I52)</f>
        <v>11463.52</v>
      </c>
      <c r="N53" s="648"/>
      <c r="O53" s="643" t="s">
        <v>418</v>
      </c>
      <c r="P53" s="648"/>
      <c r="Q53" s="44"/>
      <c r="R53" s="427"/>
      <c r="S53" s="428"/>
      <c r="T53" s="429"/>
      <c r="U53" s="421">
        <f>SUM(U51:U52)</f>
        <v>0</v>
      </c>
    </row>
    <row r="54" spans="1:22" x14ac:dyDescent="0.25">
      <c r="A54" s="241"/>
      <c r="C54" s="624" t="s">
        <v>462</v>
      </c>
      <c r="D54" s="624" t="s">
        <v>462</v>
      </c>
      <c r="G54" s="42"/>
      <c r="H54" s="114"/>
      <c r="I54" s="114"/>
      <c r="N54" s="480"/>
      <c r="O54" s="51"/>
      <c r="P54" s="40" t="s">
        <v>462</v>
      </c>
      <c r="Q54" s="40" t="s">
        <v>462</v>
      </c>
      <c r="R54" s="51"/>
      <c r="S54" s="51"/>
      <c r="T54" s="481"/>
      <c r="U54" s="482"/>
      <c r="V54" s="114"/>
    </row>
    <row r="55" spans="1:22" x14ac:dyDescent="0.25">
      <c r="A55" s="621"/>
      <c r="B55" s="621"/>
      <c r="C55" s="88" t="s">
        <v>534</v>
      </c>
      <c r="D55" s="349" t="s">
        <v>535</v>
      </c>
      <c r="E55" s="89" t="s">
        <v>8</v>
      </c>
      <c r="F55" s="46" t="s">
        <v>456</v>
      </c>
      <c r="G55" s="109" t="s">
        <v>457</v>
      </c>
      <c r="H55" s="473" t="s">
        <v>458</v>
      </c>
      <c r="I55" s="101"/>
      <c r="N55" s="648"/>
      <c r="O55" s="648"/>
      <c r="P55" s="483"/>
      <c r="Q55" s="484"/>
      <c r="R55" s="485"/>
      <c r="S55" s="487" t="s">
        <v>457</v>
      </c>
      <c r="T55" s="488" t="s">
        <v>458</v>
      </c>
      <c r="U55" s="486"/>
      <c r="V55" s="443"/>
    </row>
    <row r="56" spans="1:22" x14ac:dyDescent="0.25">
      <c r="A56" s="36" t="s">
        <v>459</v>
      </c>
      <c r="B56" s="36"/>
      <c r="C56" s="340" t="s">
        <v>2</v>
      </c>
      <c r="D56" s="340" t="s">
        <v>2</v>
      </c>
      <c r="E56" s="90" t="s">
        <v>2</v>
      </c>
      <c r="F56" s="629" t="s">
        <v>460</v>
      </c>
      <c r="G56" s="623" t="s">
        <v>460</v>
      </c>
      <c r="H56" s="474" t="s">
        <v>461</v>
      </c>
      <c r="I56" s="36"/>
      <c r="N56" s="478" t="s">
        <v>459</v>
      </c>
      <c r="O56" s="478"/>
      <c r="P56" s="777" t="s">
        <v>2</v>
      </c>
      <c r="Q56" s="777"/>
      <c r="R56" s="478" t="s">
        <v>465</v>
      </c>
      <c r="S56" s="639" t="s">
        <v>460</v>
      </c>
      <c r="T56" s="489" t="s">
        <v>461</v>
      </c>
      <c r="U56" s="478"/>
      <c r="V56" s="477"/>
    </row>
    <row r="57" spans="1:22" x14ac:dyDescent="0.25">
      <c r="A57" s="720" t="s">
        <v>463</v>
      </c>
      <c r="B57" s="720"/>
      <c r="C57" s="143">
        <v>0</v>
      </c>
      <c r="D57" s="143">
        <v>0</v>
      </c>
      <c r="E57" s="116">
        <f t="shared" ref="E57:E59" si="10">IF(D$72=0,C57*2,C57+D57)</f>
        <v>0</v>
      </c>
      <c r="F57" s="622" t="s">
        <v>455</v>
      </c>
      <c r="G57" s="622">
        <v>251</v>
      </c>
      <c r="H57" s="476">
        <v>1047</v>
      </c>
      <c r="I57" s="101">
        <f>ROUND(E57*H57,2)</f>
        <v>0</v>
      </c>
      <c r="N57" s="778" t="s">
        <v>463</v>
      </c>
      <c r="O57" s="778"/>
      <c r="P57" s="780"/>
      <c r="Q57" s="780"/>
      <c r="R57" s="632" t="s">
        <v>455</v>
      </c>
      <c r="S57" s="632">
        <v>251</v>
      </c>
      <c r="T57" s="479">
        <f>H57</f>
        <v>1047</v>
      </c>
      <c r="U57" s="493">
        <f>ROUND(P57*T57,2)</f>
        <v>0</v>
      </c>
      <c r="V57" s="443"/>
    </row>
    <row r="58" spans="1:22" x14ac:dyDescent="0.25">
      <c r="A58" s="721"/>
      <c r="B58" s="721"/>
      <c r="C58" s="143">
        <v>0</v>
      </c>
      <c r="D58" s="143">
        <v>0</v>
      </c>
      <c r="E58" s="116">
        <f t="shared" si="10"/>
        <v>0</v>
      </c>
      <c r="F58" s="622" t="s">
        <v>455</v>
      </c>
      <c r="G58" s="622">
        <v>252</v>
      </c>
      <c r="H58" s="476">
        <v>3380</v>
      </c>
      <c r="I58" s="101">
        <f t="shared" ref="I58:I65" si="11">ROUND(E58*H58,2)</f>
        <v>0</v>
      </c>
      <c r="N58" s="779"/>
      <c r="O58" s="779"/>
      <c r="P58" s="773"/>
      <c r="Q58" s="773"/>
      <c r="R58" s="632" t="s">
        <v>455</v>
      </c>
      <c r="S58" s="632">
        <v>252</v>
      </c>
      <c r="T58" s="479">
        <f t="shared" ref="T58:T65" si="12">H58</f>
        <v>3380</v>
      </c>
      <c r="U58" s="493">
        <f t="shared" ref="U58:U65" si="13">ROUND(P58*T58,2)</f>
        <v>0</v>
      </c>
      <c r="V58" s="443"/>
    </row>
    <row r="59" spans="1:22" x14ac:dyDescent="0.25">
      <c r="A59" s="721"/>
      <c r="B59" s="721"/>
      <c r="C59" s="143">
        <v>0</v>
      </c>
      <c r="D59" s="143">
        <v>0</v>
      </c>
      <c r="E59" s="116">
        <f t="shared" si="10"/>
        <v>0</v>
      </c>
      <c r="F59" s="622" t="s">
        <v>455</v>
      </c>
      <c r="G59" s="622">
        <v>253</v>
      </c>
      <c r="H59" s="476">
        <v>6896</v>
      </c>
      <c r="I59" s="101">
        <f t="shared" si="11"/>
        <v>0</v>
      </c>
      <c r="N59" s="779"/>
      <c r="O59" s="779"/>
      <c r="P59" s="773"/>
      <c r="Q59" s="773"/>
      <c r="R59" s="632" t="s">
        <v>455</v>
      </c>
      <c r="S59" s="632">
        <v>253</v>
      </c>
      <c r="T59" s="479">
        <f t="shared" si="12"/>
        <v>6896</v>
      </c>
      <c r="U59" s="493">
        <f t="shared" si="13"/>
        <v>0</v>
      </c>
      <c r="V59" s="443"/>
    </row>
    <row r="60" spans="1:22" x14ac:dyDescent="0.25">
      <c r="A60" s="721"/>
      <c r="B60" s="721"/>
      <c r="C60" s="143">
        <v>2</v>
      </c>
      <c r="D60" s="143">
        <v>0</v>
      </c>
      <c r="E60" s="116">
        <f t="shared" ref="E60:E65" si="14">IF(D$66=0,C60*2,C60+D60)</f>
        <v>4</v>
      </c>
      <c r="F60" s="624" t="s">
        <v>13</v>
      </c>
      <c r="G60" s="622">
        <v>251</v>
      </c>
      <c r="H60" s="476">
        <v>1173</v>
      </c>
      <c r="I60" s="101">
        <f t="shared" si="11"/>
        <v>4692</v>
      </c>
      <c r="N60" s="779"/>
      <c r="O60" s="779"/>
      <c r="P60" s="773"/>
      <c r="Q60" s="773"/>
      <c r="R60" s="40" t="s">
        <v>13</v>
      </c>
      <c r="S60" s="632">
        <v>251</v>
      </c>
      <c r="T60" s="479">
        <f t="shared" si="12"/>
        <v>1173</v>
      </c>
      <c r="U60" s="493">
        <f t="shared" si="13"/>
        <v>0</v>
      </c>
      <c r="V60" s="443"/>
    </row>
    <row r="61" spans="1:22" x14ac:dyDescent="0.25">
      <c r="A61" s="721"/>
      <c r="B61" s="721"/>
      <c r="C61" s="143">
        <v>1.5</v>
      </c>
      <c r="D61" s="143">
        <v>0</v>
      </c>
      <c r="E61" s="116">
        <f t="shared" si="14"/>
        <v>3</v>
      </c>
      <c r="F61" s="624" t="s">
        <v>13</v>
      </c>
      <c r="G61" s="622">
        <v>252</v>
      </c>
      <c r="H61" s="476">
        <v>3506</v>
      </c>
      <c r="I61" s="101">
        <f t="shared" si="11"/>
        <v>10518</v>
      </c>
      <c r="N61" s="779"/>
      <c r="O61" s="779"/>
      <c r="P61" s="773"/>
      <c r="Q61" s="773"/>
      <c r="R61" s="40" t="s">
        <v>13</v>
      </c>
      <c r="S61" s="632">
        <v>252</v>
      </c>
      <c r="T61" s="479">
        <f t="shared" si="12"/>
        <v>3506</v>
      </c>
      <c r="U61" s="493">
        <f t="shared" si="13"/>
        <v>0</v>
      </c>
      <c r="V61" s="443"/>
    </row>
    <row r="62" spans="1:22" x14ac:dyDescent="0.25">
      <c r="A62" s="721"/>
      <c r="B62" s="721"/>
      <c r="C62" s="143">
        <v>1.5</v>
      </c>
      <c r="D62" s="143">
        <v>0</v>
      </c>
      <c r="E62" s="116">
        <f t="shared" si="14"/>
        <v>3</v>
      </c>
      <c r="F62" s="624" t="s">
        <v>13</v>
      </c>
      <c r="G62" s="622">
        <v>253</v>
      </c>
      <c r="H62" s="476">
        <v>7023</v>
      </c>
      <c r="I62" s="101">
        <f t="shared" si="11"/>
        <v>21069</v>
      </c>
      <c r="N62" s="779"/>
      <c r="O62" s="779"/>
      <c r="P62" s="773"/>
      <c r="Q62" s="773"/>
      <c r="R62" s="40" t="s">
        <v>13</v>
      </c>
      <c r="S62" s="632">
        <v>253</v>
      </c>
      <c r="T62" s="479">
        <f t="shared" si="12"/>
        <v>7023</v>
      </c>
      <c r="U62" s="493">
        <f t="shared" si="13"/>
        <v>0</v>
      </c>
      <c r="V62" s="443"/>
    </row>
    <row r="63" spans="1:22" x14ac:dyDescent="0.25">
      <c r="A63" s="721"/>
      <c r="B63" s="721"/>
      <c r="C63" s="143">
        <v>0</v>
      </c>
      <c r="D63" s="143">
        <v>0</v>
      </c>
      <c r="E63" s="116">
        <f t="shared" si="14"/>
        <v>0</v>
      </c>
      <c r="F63" s="624" t="s">
        <v>14</v>
      </c>
      <c r="G63" s="622">
        <v>251</v>
      </c>
      <c r="H63" s="476">
        <v>835</v>
      </c>
      <c r="I63" s="101">
        <f>ROUND(E63*H63,2)</f>
        <v>0</v>
      </c>
      <c r="N63" s="779"/>
      <c r="O63" s="779"/>
      <c r="P63" s="773"/>
      <c r="Q63" s="773"/>
      <c r="R63" s="40" t="s">
        <v>14</v>
      </c>
      <c r="S63" s="632">
        <v>251</v>
      </c>
      <c r="T63" s="479">
        <f t="shared" si="12"/>
        <v>835</v>
      </c>
      <c r="U63" s="493">
        <f t="shared" si="13"/>
        <v>0</v>
      </c>
      <c r="V63" s="443"/>
    </row>
    <row r="64" spans="1:22" x14ac:dyDescent="0.25">
      <c r="A64" s="721"/>
      <c r="B64" s="721"/>
      <c r="C64" s="143">
        <v>0</v>
      </c>
      <c r="D64" s="143">
        <v>0</v>
      </c>
      <c r="E64" s="116">
        <f t="shared" si="14"/>
        <v>0</v>
      </c>
      <c r="F64" s="624" t="s">
        <v>14</v>
      </c>
      <c r="G64" s="622">
        <v>252</v>
      </c>
      <c r="H64" s="476">
        <v>3168</v>
      </c>
      <c r="I64" s="101">
        <f t="shared" si="11"/>
        <v>0</v>
      </c>
      <c r="N64" s="779"/>
      <c r="O64" s="779"/>
      <c r="P64" s="773"/>
      <c r="Q64" s="773"/>
      <c r="R64" s="40" t="s">
        <v>14</v>
      </c>
      <c r="S64" s="632">
        <v>252</v>
      </c>
      <c r="T64" s="479">
        <f t="shared" si="12"/>
        <v>3168</v>
      </c>
      <c r="U64" s="493">
        <f t="shared" si="13"/>
        <v>0</v>
      </c>
      <c r="V64" s="443"/>
    </row>
    <row r="65" spans="1:22" ht="16.5" thickBot="1" x14ac:dyDescent="0.3">
      <c r="A65" s="721"/>
      <c r="B65" s="721"/>
      <c r="C65" s="143">
        <v>0</v>
      </c>
      <c r="D65" s="143">
        <v>0</v>
      </c>
      <c r="E65" s="116">
        <f t="shared" si="14"/>
        <v>0</v>
      </c>
      <c r="F65" s="624" t="s">
        <v>14</v>
      </c>
      <c r="G65" s="622">
        <v>253</v>
      </c>
      <c r="H65" s="476">
        <v>6685</v>
      </c>
      <c r="I65" s="101">
        <f t="shared" si="11"/>
        <v>0</v>
      </c>
      <c r="N65" s="779"/>
      <c r="O65" s="779"/>
      <c r="P65" s="774"/>
      <c r="Q65" s="774"/>
      <c r="R65" s="40" t="s">
        <v>14</v>
      </c>
      <c r="S65" s="632">
        <v>253</v>
      </c>
      <c r="T65" s="479">
        <f t="shared" si="12"/>
        <v>6685</v>
      </c>
      <c r="U65" s="494">
        <f t="shared" si="13"/>
        <v>0</v>
      </c>
      <c r="V65" s="443"/>
    </row>
    <row r="66" spans="1:22" ht="16.5" thickBot="1" x14ac:dyDescent="0.3">
      <c r="A66" s="241"/>
      <c r="C66" s="97">
        <f>SUM(C57:C65)</f>
        <v>5</v>
      </c>
      <c r="D66" s="97">
        <f>SUM(D57:D65)</f>
        <v>0</v>
      </c>
      <c r="E66" s="97">
        <f>SUM(E57:E65)</f>
        <v>10</v>
      </c>
      <c r="F66" s="708" t="s">
        <v>464</v>
      </c>
      <c r="G66" s="708"/>
      <c r="H66" s="708"/>
      <c r="I66" s="97">
        <f>SUM(I57:I65)</f>
        <v>36279</v>
      </c>
      <c r="N66" s="480"/>
      <c r="O66" s="51"/>
      <c r="P66" s="775">
        <f>SUM(P57:P65)</f>
        <v>0</v>
      </c>
      <c r="Q66" s="775"/>
      <c r="R66" s="776" t="s">
        <v>464</v>
      </c>
      <c r="S66" s="776"/>
      <c r="T66" s="776"/>
      <c r="U66" s="495">
        <f>SUM(U57:U65)</f>
        <v>0</v>
      </c>
      <c r="V66" s="443"/>
    </row>
    <row r="67" spans="1:22" x14ac:dyDescent="0.25">
      <c r="A67" s="241"/>
      <c r="C67" s="101"/>
      <c r="D67" s="101"/>
      <c r="E67" s="101"/>
      <c r="F67" s="621"/>
      <c r="G67" s="621"/>
      <c r="H67" s="621"/>
      <c r="I67" s="101"/>
      <c r="N67" s="638"/>
      <c r="O67" s="638"/>
      <c r="P67" s="638"/>
      <c r="Q67" s="638"/>
      <c r="R67" s="638"/>
      <c r="S67" s="638"/>
      <c r="T67" s="642"/>
      <c r="U67" s="642"/>
    </row>
    <row r="68" spans="1:22" x14ac:dyDescent="0.25">
      <c r="A68" s="618" t="s">
        <v>466</v>
      </c>
      <c r="N68" s="643" t="s">
        <v>474</v>
      </c>
      <c r="O68" s="51"/>
      <c r="P68" s="51"/>
      <c r="Q68" s="51"/>
      <c r="R68" s="51"/>
      <c r="S68" s="51"/>
      <c r="T68" s="51"/>
      <c r="U68" s="51"/>
    </row>
    <row r="69" spans="1:22" x14ac:dyDescent="0.25">
      <c r="A69" s="704" t="s">
        <v>419</v>
      </c>
      <c r="B69" s="705"/>
      <c r="C69" s="112">
        <f>E30</f>
        <v>36</v>
      </c>
      <c r="D69" s="718" t="s">
        <v>430</v>
      </c>
      <c r="E69" s="718"/>
      <c r="F69" s="718"/>
      <c r="G69" s="718"/>
      <c r="H69" s="287">
        <f>'1461'!H69</f>
        <v>210228.91</v>
      </c>
      <c r="I69" s="113"/>
      <c r="N69" s="746" t="s">
        <v>423</v>
      </c>
      <c r="O69" s="747"/>
      <c r="P69" s="41">
        <f>P30</f>
        <v>0</v>
      </c>
      <c r="Q69" s="771" t="s">
        <v>425</v>
      </c>
      <c r="R69" s="772"/>
      <c r="S69" s="772"/>
      <c r="T69" s="760">
        <f>H69</f>
        <v>210228.91</v>
      </c>
      <c r="U69" s="760"/>
    </row>
    <row r="70" spans="1:22" x14ac:dyDescent="0.25">
      <c r="B70" s="619"/>
      <c r="G70" s="42" t="s">
        <v>12</v>
      </c>
      <c r="H70" s="114">
        <f>ROUND(C69/H69,6)</f>
        <v>1.7100000000000001E-4</v>
      </c>
      <c r="I70" s="115"/>
      <c r="N70" s="747"/>
      <c r="O70" s="747"/>
      <c r="P70" s="747"/>
      <c r="Q70" s="747"/>
      <c r="R70" s="747"/>
      <c r="S70" s="747"/>
      <c r="T70" s="765">
        <f>ROUND(P69/T69,6)</f>
        <v>0</v>
      </c>
      <c r="U70" s="765"/>
    </row>
    <row r="71" spans="1:22" x14ac:dyDescent="0.25">
      <c r="A71" s="618" t="s">
        <v>467</v>
      </c>
      <c r="N71" s="643" t="s">
        <v>475</v>
      </c>
      <c r="O71" s="51"/>
      <c r="P71" s="51"/>
      <c r="Q71" s="51"/>
      <c r="R71" s="51"/>
      <c r="S71" s="51"/>
      <c r="T71" s="51"/>
      <c r="U71" s="51"/>
    </row>
    <row r="72" spans="1:22" x14ac:dyDescent="0.25">
      <c r="A72" s="704" t="s">
        <v>420</v>
      </c>
      <c r="B72" s="705"/>
      <c r="C72" s="112">
        <f>H30</f>
        <v>36.96</v>
      </c>
      <c r="D72" s="718" t="s">
        <v>431</v>
      </c>
      <c r="E72" s="718"/>
      <c r="F72" s="718"/>
      <c r="G72" s="718"/>
      <c r="H72" s="288">
        <f>'1461'!H72</f>
        <v>234891.44</v>
      </c>
      <c r="I72" s="116"/>
      <c r="N72" s="746" t="s">
        <v>424</v>
      </c>
      <c r="O72" s="747"/>
      <c r="P72" s="41">
        <f>T30</f>
        <v>0</v>
      </c>
      <c r="Q72" s="771" t="s">
        <v>426</v>
      </c>
      <c r="R72" s="772"/>
      <c r="S72" s="772"/>
      <c r="T72" s="760">
        <f>H72</f>
        <v>234891.44</v>
      </c>
      <c r="U72" s="760"/>
    </row>
    <row r="73" spans="1:22" x14ac:dyDescent="0.25">
      <c r="G73" s="42" t="s">
        <v>12</v>
      </c>
      <c r="H73" s="114">
        <f>ROUND(C72/H72,6)</f>
        <v>1.5699999999999999E-4</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36</v>
      </c>
      <c r="D75" s="717" t="s">
        <v>432</v>
      </c>
      <c r="E75" s="717"/>
      <c r="F75" s="717"/>
      <c r="G75" s="717"/>
      <c r="H75" s="287">
        <f>'1461'!H75</f>
        <v>187665.41</v>
      </c>
      <c r="I75" s="113"/>
      <c r="N75" s="746" t="s">
        <v>422</v>
      </c>
      <c r="O75" s="747"/>
      <c r="P75" s="41">
        <f>P30</f>
        <v>0</v>
      </c>
      <c r="Q75" s="767" t="s">
        <v>427</v>
      </c>
      <c r="R75" s="768"/>
      <c r="S75" s="768"/>
      <c r="T75" s="760">
        <f>H75</f>
        <v>187665.41</v>
      </c>
      <c r="U75" s="760"/>
    </row>
    <row r="76" spans="1:22" x14ac:dyDescent="0.25">
      <c r="B76" s="619"/>
      <c r="G76" s="42" t="s">
        <v>12</v>
      </c>
      <c r="H76" s="114">
        <f>ROUND(C75/H75,6)</f>
        <v>1.92E-4</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36</v>
      </c>
      <c r="D78" s="713" t="s">
        <v>433</v>
      </c>
      <c r="E78" s="713"/>
      <c r="F78" s="713"/>
      <c r="G78" s="713"/>
      <c r="H78" s="287">
        <f>'1461'!H78</f>
        <v>209892.26</v>
      </c>
      <c r="I78" s="113"/>
      <c r="N78" s="746" t="s">
        <v>422</v>
      </c>
      <c r="O78" s="747"/>
      <c r="P78" s="41">
        <f>P30</f>
        <v>0</v>
      </c>
      <c r="Q78" s="769" t="s">
        <v>428</v>
      </c>
      <c r="R78" s="770"/>
      <c r="S78" s="770"/>
      <c r="T78" s="760">
        <f>H78</f>
        <v>209892.26</v>
      </c>
      <c r="U78" s="760"/>
    </row>
    <row r="79" spans="1:22" x14ac:dyDescent="0.25">
      <c r="B79" s="619"/>
      <c r="G79" s="42" t="s">
        <v>12</v>
      </c>
      <c r="H79" s="114">
        <f>ROUND(C78/H78,6)</f>
        <v>1.7200000000000001E-4</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36</v>
      </c>
      <c r="D81" s="717" t="s">
        <v>434</v>
      </c>
      <c r="E81" s="717"/>
      <c r="F81" s="717"/>
      <c r="G81" s="717"/>
      <c r="H81" s="287">
        <f>'1461'!H81</f>
        <v>187328.76</v>
      </c>
      <c r="I81" s="113"/>
      <c r="N81" s="746" t="s">
        <v>435</v>
      </c>
      <c r="O81" s="747"/>
      <c r="P81" s="41">
        <f>P30</f>
        <v>0</v>
      </c>
      <c r="Q81" s="767" t="s">
        <v>436</v>
      </c>
      <c r="R81" s="768"/>
      <c r="S81" s="768"/>
      <c r="T81" s="760">
        <f>H81</f>
        <v>187328.76</v>
      </c>
      <c r="U81" s="760"/>
    </row>
    <row r="82" spans="1:21" x14ac:dyDescent="0.25">
      <c r="B82" s="619"/>
      <c r="G82" s="42" t="s">
        <v>12</v>
      </c>
      <c r="H82" s="114">
        <f>ROUND(C81/H81,6)</f>
        <v>1.92E-4</v>
      </c>
      <c r="I82" s="115"/>
      <c r="N82" s="747"/>
      <c r="O82" s="747"/>
      <c r="P82" s="747"/>
      <c r="Q82" s="747"/>
      <c r="R82" s="747"/>
      <c r="S82" s="747"/>
      <c r="T82" s="765">
        <f>ROUND(P81/T81,6)</f>
        <v>0</v>
      </c>
      <c r="U82" s="765"/>
    </row>
    <row r="83" spans="1:21" x14ac:dyDescent="0.25">
      <c r="A83" s="241"/>
      <c r="G83" s="42"/>
      <c r="H83" s="114"/>
      <c r="I83" s="114"/>
      <c r="N83" s="638"/>
      <c r="O83" s="638"/>
      <c r="P83" s="638"/>
      <c r="Q83" s="638"/>
      <c r="R83" s="638"/>
      <c r="S83" s="638"/>
      <c r="T83" s="642"/>
      <c r="U83" s="642"/>
    </row>
    <row r="84" spans="1:21" x14ac:dyDescent="0.25">
      <c r="A84" s="241"/>
      <c r="G84" s="42"/>
      <c r="H84" s="114"/>
      <c r="I84" s="114"/>
      <c r="N84" s="638"/>
      <c r="O84" s="638"/>
      <c r="P84" s="638"/>
      <c r="Q84" s="638"/>
      <c r="R84" s="638"/>
      <c r="S84" s="638"/>
      <c r="T84" s="642"/>
      <c r="U84" s="642"/>
    </row>
    <row r="85" spans="1:21" x14ac:dyDescent="0.25">
      <c r="A85" s="618" t="s">
        <v>471</v>
      </c>
      <c r="D85" s="619"/>
      <c r="E85" s="631" t="s">
        <v>316</v>
      </c>
      <c r="F85" s="289">
        <v>46163704</v>
      </c>
      <c r="G85" s="622" t="s">
        <v>6</v>
      </c>
      <c r="H85" s="441">
        <f>H79</f>
        <v>1.7200000000000001E-4</v>
      </c>
      <c r="I85" s="101">
        <f>ROUND(F85*H85,2)</f>
        <v>7940.16</v>
      </c>
      <c r="N85" s="643" t="s">
        <v>471</v>
      </c>
      <c r="O85" s="51"/>
      <c r="P85" s="51"/>
      <c r="Q85" s="44"/>
      <c r="R85" s="438">
        <f>F85</f>
        <v>46163704</v>
      </c>
      <c r="S85" s="632" t="s">
        <v>6</v>
      </c>
      <c r="T85" s="440">
        <f>T79</f>
        <v>0</v>
      </c>
      <c r="U85" s="492">
        <f>ROUND(R85*T85,2)</f>
        <v>0</v>
      </c>
    </row>
    <row r="86" spans="1:21" x14ac:dyDescent="0.25">
      <c r="A86" s="418"/>
      <c r="D86" s="619"/>
      <c r="E86" s="631"/>
      <c r="F86" s="275"/>
      <c r="G86" s="622"/>
      <c r="H86" s="441"/>
      <c r="I86" s="101"/>
      <c r="N86" s="51"/>
      <c r="O86" s="51"/>
      <c r="P86" s="51"/>
      <c r="Q86" s="44"/>
      <c r="R86" s="439"/>
      <c r="S86" s="632"/>
      <c r="T86" s="440"/>
      <c r="U86" s="496"/>
    </row>
    <row r="87" spans="1:21" x14ac:dyDescent="0.25">
      <c r="A87" s="719" t="s">
        <v>71</v>
      </c>
      <c r="B87" s="705"/>
      <c r="C87" s="705"/>
      <c r="D87" s="619"/>
      <c r="E87" s="631"/>
      <c r="F87" s="275"/>
      <c r="G87" s="622"/>
      <c r="H87" s="441"/>
      <c r="I87" s="101"/>
      <c r="N87" s="746" t="s">
        <v>479</v>
      </c>
      <c r="O87" s="747"/>
      <c r="P87" s="747"/>
      <c r="Q87" s="51"/>
      <c r="R87" s="439"/>
      <c r="S87" s="51"/>
      <c r="T87" s="632"/>
      <c r="U87" s="497"/>
    </row>
    <row r="88" spans="1:21" x14ac:dyDescent="0.25">
      <c r="A88" s="719" t="s">
        <v>99</v>
      </c>
      <c r="B88" s="705"/>
      <c r="C88" s="705"/>
      <c r="D88" s="619"/>
      <c r="E88" s="631" t="s">
        <v>3</v>
      </c>
      <c r="F88" s="289">
        <v>0</v>
      </c>
      <c r="G88" s="622" t="s">
        <v>6</v>
      </c>
      <c r="H88" s="441">
        <f>H70</f>
        <v>1.7100000000000001E-4</v>
      </c>
      <c r="I88" s="101">
        <f>ROUND(F88*H88,2)</f>
        <v>0</v>
      </c>
      <c r="N88" s="766" t="s">
        <v>99</v>
      </c>
      <c r="O88" s="747"/>
      <c r="P88" s="747"/>
      <c r="Q88" s="44"/>
      <c r="R88" s="438">
        <f>F88</f>
        <v>0</v>
      </c>
      <c r="S88" s="632" t="s">
        <v>6</v>
      </c>
      <c r="T88" s="440">
        <f>T70</f>
        <v>0</v>
      </c>
      <c r="U88" s="492">
        <f>ROUND(R88*T88,2)</f>
        <v>0</v>
      </c>
    </row>
    <row r="89" spans="1:21" x14ac:dyDescent="0.25">
      <c r="A89" s="625"/>
      <c r="B89" s="619"/>
      <c r="C89" s="619"/>
      <c r="D89" s="619"/>
      <c r="E89" s="631"/>
      <c r="F89" s="275"/>
      <c r="G89" s="622"/>
      <c r="H89" s="441"/>
      <c r="I89" s="101"/>
      <c r="N89" s="644"/>
      <c r="O89" s="638"/>
      <c r="P89" s="638"/>
      <c r="Q89" s="44"/>
      <c r="R89" s="438"/>
      <c r="S89" s="632"/>
      <c r="T89" s="440"/>
      <c r="U89" s="492"/>
    </row>
    <row r="90" spans="1:21" x14ac:dyDescent="0.25">
      <c r="A90" s="618" t="s">
        <v>472</v>
      </c>
      <c r="D90" s="619"/>
      <c r="E90" s="631" t="s">
        <v>437</v>
      </c>
      <c r="F90" s="289">
        <v>19042026</v>
      </c>
      <c r="G90" s="622" t="s">
        <v>6</v>
      </c>
      <c r="H90" s="441">
        <f>H82</f>
        <v>1.92E-4</v>
      </c>
      <c r="I90" s="101">
        <f>ROUND(F90*H90,2)</f>
        <v>3656.07</v>
      </c>
      <c r="N90" s="643" t="s">
        <v>472</v>
      </c>
      <c r="O90" s="51"/>
      <c r="P90" s="51"/>
      <c r="Q90" s="44"/>
      <c r="R90" s="438">
        <f>F90</f>
        <v>19042026</v>
      </c>
      <c r="S90" s="632" t="s">
        <v>6</v>
      </c>
      <c r="T90" s="440">
        <f>T82</f>
        <v>0</v>
      </c>
      <c r="U90" s="492">
        <f>ROUND(R90*T90,2)</f>
        <v>0</v>
      </c>
    </row>
    <row r="91" spans="1:21" x14ac:dyDescent="0.25">
      <c r="A91" s="418"/>
      <c r="D91" s="619"/>
      <c r="E91" s="631"/>
      <c r="F91" s="275"/>
      <c r="G91" s="622"/>
      <c r="H91" s="441"/>
      <c r="I91" s="101"/>
      <c r="N91" s="426"/>
      <c r="O91" s="51"/>
      <c r="P91" s="51"/>
      <c r="Q91" s="44"/>
      <c r="R91" s="438"/>
      <c r="S91" s="632"/>
      <c r="T91" s="440"/>
      <c r="U91" s="492"/>
    </row>
    <row r="92" spans="1:21" x14ac:dyDescent="0.25">
      <c r="A92" s="618" t="s">
        <v>473</v>
      </c>
      <c r="D92" s="619"/>
      <c r="E92" s="631" t="s">
        <v>3</v>
      </c>
      <c r="F92" s="289">
        <v>11441151</v>
      </c>
      <c r="G92" s="622" t="s">
        <v>6</v>
      </c>
      <c r="H92" s="441">
        <f>H76</f>
        <v>1.92E-4</v>
      </c>
      <c r="I92" s="101">
        <f t="shared" ref="I92:I98" si="15">ROUND(F92*H92,2)</f>
        <v>2196.6999999999998</v>
      </c>
      <c r="N92" s="643" t="s">
        <v>473</v>
      </c>
      <c r="O92" s="51"/>
      <c r="P92" s="51"/>
      <c r="Q92" s="44"/>
      <c r="R92" s="438">
        <f t="shared" ref="R92:R96" si="16">F92</f>
        <v>11441151</v>
      </c>
      <c r="S92" s="632" t="s">
        <v>6</v>
      </c>
      <c r="T92" s="440">
        <f>T76</f>
        <v>0</v>
      </c>
      <c r="U92" s="492">
        <f>ROUND(R92*T92,2)</f>
        <v>0</v>
      </c>
    </row>
    <row r="93" spans="1:21" x14ac:dyDescent="0.25">
      <c r="A93" s="618"/>
      <c r="D93" s="619"/>
      <c r="E93" s="631"/>
      <c r="F93" s="275"/>
      <c r="G93" s="622"/>
      <c r="H93" s="441"/>
      <c r="I93" s="101"/>
      <c r="N93" s="643"/>
      <c r="O93" s="51"/>
      <c r="P93" s="51"/>
      <c r="Q93" s="44"/>
      <c r="R93" s="439"/>
      <c r="S93" s="632"/>
      <c r="T93" s="440"/>
      <c r="U93" s="496"/>
    </row>
    <row r="94" spans="1:21" x14ac:dyDescent="0.25">
      <c r="A94" s="704" t="s">
        <v>438</v>
      </c>
      <c r="B94" s="705"/>
      <c r="C94" s="705"/>
      <c r="D94" s="619"/>
      <c r="E94" s="631" t="s">
        <v>4</v>
      </c>
      <c r="F94" s="289">
        <v>255756816</v>
      </c>
      <c r="G94" s="622" t="s">
        <v>6</v>
      </c>
      <c r="H94" s="441">
        <f>H73</f>
        <v>1.5699999999999999E-4</v>
      </c>
      <c r="I94" s="101">
        <f t="shared" si="15"/>
        <v>40153.82</v>
      </c>
      <c r="N94" s="747" t="s">
        <v>438</v>
      </c>
      <c r="O94" s="747"/>
      <c r="P94" s="747"/>
      <c r="Q94" s="44"/>
      <c r="R94" s="438">
        <f t="shared" si="16"/>
        <v>255756816</v>
      </c>
      <c r="S94" s="632" t="s">
        <v>6</v>
      </c>
      <c r="T94" s="440">
        <f>T73</f>
        <v>0</v>
      </c>
      <c r="U94" s="492">
        <f>ROUND(R94*T94,2)</f>
        <v>0</v>
      </c>
    </row>
    <row r="95" spans="1:21" x14ac:dyDescent="0.25">
      <c r="A95" s="618"/>
      <c r="B95" s="619"/>
      <c r="C95" s="619"/>
      <c r="D95" s="619"/>
      <c r="E95" s="631"/>
      <c r="F95" s="275"/>
      <c r="G95" s="622"/>
      <c r="H95" s="441"/>
      <c r="I95" s="101"/>
      <c r="N95" s="638"/>
      <c r="O95" s="638"/>
      <c r="P95" s="638"/>
      <c r="Q95" s="44"/>
      <c r="R95" s="438"/>
      <c r="S95" s="632"/>
      <c r="T95" s="440"/>
      <c r="U95" s="492"/>
    </row>
    <row r="96" spans="1:21" x14ac:dyDescent="0.25">
      <c r="A96" s="704" t="s">
        <v>439</v>
      </c>
      <c r="B96" s="705"/>
      <c r="C96" s="705"/>
      <c r="D96" s="619"/>
      <c r="E96" s="631" t="s">
        <v>4</v>
      </c>
      <c r="F96" s="289">
        <v>-1585559</v>
      </c>
      <c r="G96" s="622" t="s">
        <v>6</v>
      </c>
      <c r="H96" s="441">
        <f>H73</f>
        <v>1.5699999999999999E-4</v>
      </c>
      <c r="I96" s="101">
        <f t="shared" si="15"/>
        <v>-248.93</v>
      </c>
      <c r="N96" s="746" t="s">
        <v>439</v>
      </c>
      <c r="O96" s="746"/>
      <c r="P96" s="746"/>
      <c r="Q96" s="44"/>
      <c r="R96" s="438">
        <f t="shared" si="16"/>
        <v>-1585559</v>
      </c>
      <c r="S96" s="632" t="s">
        <v>6</v>
      </c>
      <c r="T96" s="440">
        <f>T73</f>
        <v>0</v>
      </c>
      <c r="U96" s="492">
        <f>ROUND(R96*T96,2)</f>
        <v>0</v>
      </c>
    </row>
    <row r="97" spans="1:21" x14ac:dyDescent="0.25">
      <c r="A97" s="618"/>
      <c r="B97" s="619"/>
      <c r="C97" s="619"/>
      <c r="D97" s="619"/>
      <c r="E97" s="631"/>
      <c r="F97" s="275"/>
      <c r="G97" s="622"/>
      <c r="H97" s="441"/>
      <c r="I97" s="101"/>
      <c r="N97" s="643"/>
      <c r="O97" s="643"/>
      <c r="P97" s="643"/>
      <c r="Q97" s="44"/>
      <c r="R97" s="553"/>
      <c r="S97" s="632"/>
      <c r="T97" s="440"/>
      <c r="U97" s="496"/>
    </row>
    <row r="98" spans="1:21" x14ac:dyDescent="0.25">
      <c r="A98" s="618" t="s">
        <v>513</v>
      </c>
      <c r="B98" s="619"/>
      <c r="C98" s="619"/>
      <c r="D98" s="619"/>
      <c r="E98" s="631" t="s">
        <v>3</v>
      </c>
      <c r="F98" s="289">
        <v>0</v>
      </c>
      <c r="G98" s="622" t="s">
        <v>6</v>
      </c>
      <c r="H98" s="441">
        <f>H70</f>
        <v>1.7100000000000001E-4</v>
      </c>
      <c r="I98" s="101">
        <f t="shared" si="15"/>
        <v>0</v>
      </c>
      <c r="N98" s="643" t="s">
        <v>513</v>
      </c>
      <c r="O98" s="643"/>
      <c r="P98" s="643"/>
      <c r="Q98" s="44"/>
      <c r="R98" s="554">
        <f>F98</f>
        <v>0</v>
      </c>
      <c r="S98" s="632" t="s">
        <v>6</v>
      </c>
      <c r="T98" s="440">
        <f>T70</f>
        <v>0</v>
      </c>
      <c r="U98" s="492">
        <f>ROUND(R98*T98,2)</f>
        <v>0</v>
      </c>
    </row>
    <row r="99" spans="1:21" x14ac:dyDescent="0.25">
      <c r="A99" s="618"/>
      <c r="B99" s="619"/>
      <c r="C99" s="619"/>
      <c r="D99" s="619"/>
      <c r="E99" s="631"/>
      <c r="F99" s="275"/>
      <c r="G99" s="622"/>
      <c r="H99" s="441"/>
      <c r="I99" s="101"/>
      <c r="N99" s="643"/>
      <c r="O99" s="643"/>
      <c r="P99" s="643"/>
      <c r="Q99" s="44"/>
      <c r="R99" s="553"/>
      <c r="S99" s="632"/>
      <c r="T99" s="440"/>
      <c r="U99" s="496"/>
    </row>
    <row r="100" spans="1:21" x14ac:dyDescent="0.25">
      <c r="A100" s="618"/>
      <c r="B100" s="619"/>
      <c r="C100" s="619"/>
      <c r="D100" s="619"/>
      <c r="E100" s="631"/>
      <c r="F100" s="275"/>
      <c r="G100" s="622"/>
      <c r="H100" s="441"/>
      <c r="I100" s="101"/>
      <c r="N100" s="643"/>
      <c r="O100" s="643"/>
      <c r="P100" s="643"/>
      <c r="Q100" s="44"/>
      <c r="R100" s="439"/>
      <c r="S100" s="632"/>
      <c r="T100" s="440"/>
      <c r="U100" s="103"/>
    </row>
    <row r="101" spans="1:21" ht="15" customHeight="1" x14ac:dyDescent="0.25">
      <c r="A101" s="418" t="s">
        <v>514</v>
      </c>
      <c r="N101" s="426" t="s">
        <v>514</v>
      </c>
      <c r="O101" s="51"/>
      <c r="P101" s="51"/>
      <c r="Q101" s="51"/>
      <c r="R101" s="51"/>
      <c r="S101" s="51"/>
      <c r="T101" s="51"/>
      <c r="U101" s="51"/>
    </row>
    <row r="102" spans="1:21" x14ac:dyDescent="0.25">
      <c r="B102" s="619"/>
      <c r="C102" s="714" t="s">
        <v>60</v>
      </c>
      <c r="D102" s="714"/>
      <c r="E102" s="619"/>
      <c r="F102" s="624" t="s">
        <v>28</v>
      </c>
      <c r="G102" s="619"/>
      <c r="H102" s="619"/>
      <c r="I102" s="619"/>
      <c r="N102" s="638"/>
      <c r="O102" s="638"/>
      <c r="P102" s="638"/>
      <c r="Q102" s="638"/>
      <c r="R102" s="638"/>
      <c r="S102" s="638"/>
      <c r="T102" s="638"/>
      <c r="U102" s="638"/>
    </row>
    <row r="103" spans="1:21" x14ac:dyDescent="0.25">
      <c r="A103" s="3"/>
      <c r="B103" s="118"/>
      <c r="C103" s="715" t="s">
        <v>101</v>
      </c>
      <c r="D103" s="715"/>
      <c r="E103" s="119" t="s">
        <v>441</v>
      </c>
      <c r="F103" s="120" t="s">
        <v>106</v>
      </c>
      <c r="G103" s="627"/>
      <c r="H103" s="627"/>
      <c r="I103" s="627"/>
      <c r="N103" s="762" t="s">
        <v>35</v>
      </c>
      <c r="O103" s="762"/>
      <c r="P103" s="763" t="s">
        <v>443</v>
      </c>
      <c r="Q103" s="764"/>
      <c r="R103" s="760" t="s">
        <v>31</v>
      </c>
      <c r="S103" s="760"/>
      <c r="T103" s="760"/>
      <c r="U103" s="760"/>
    </row>
    <row r="104" spans="1:21" x14ac:dyDescent="0.25">
      <c r="A104" s="621"/>
      <c r="B104" s="52" t="s">
        <v>105</v>
      </c>
      <c r="C104" s="703">
        <f>H14+H15+H20+H23+H26</f>
        <v>0</v>
      </c>
      <c r="D104" s="703"/>
      <c r="E104" s="46">
        <f>H8</f>
        <v>1.0407999999999999</v>
      </c>
      <c r="F104" s="290">
        <v>950.92</v>
      </c>
      <c r="G104" s="624" t="s">
        <v>12</v>
      </c>
      <c r="H104" s="101">
        <f>ROUND(C104*E104*F104,2)</f>
        <v>0</v>
      </c>
      <c r="I104" s="104"/>
      <c r="N104" s="64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36.96</v>
      </c>
      <c r="D105" s="703"/>
      <c r="E105" s="46">
        <f>H8</f>
        <v>1.0407999999999999</v>
      </c>
      <c r="F105" s="290">
        <v>907.92</v>
      </c>
      <c r="G105" s="624" t="s">
        <v>12</v>
      </c>
      <c r="H105" s="101">
        <f>ROUND(C105*E105*F105,2)</f>
        <v>34925.839999999997</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0</v>
      </c>
      <c r="D106" s="703"/>
      <c r="E106" s="46">
        <f>H8</f>
        <v>1.0407999999999999</v>
      </c>
      <c r="F106" s="290">
        <v>910.12</v>
      </c>
      <c r="G106" s="624" t="s">
        <v>12</v>
      </c>
      <c r="H106" s="94">
        <f>ROUND(C106*E106*F106,2)</f>
        <v>0</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36.96</v>
      </c>
      <c r="D107" s="716"/>
      <c r="E107" s="123"/>
      <c r="F107" s="123"/>
      <c r="G107" s="123"/>
      <c r="H107" s="124" t="s">
        <v>100</v>
      </c>
      <c r="I107" s="101">
        <f>IF(A1=75,0,H106+H105+H104)</f>
        <v>34925.839999999997</v>
      </c>
      <c r="N107" s="649"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630"/>
      <c r="B109" s="630"/>
      <c r="C109" s="630"/>
      <c r="D109" s="630"/>
      <c r="E109" s="630"/>
      <c r="F109" s="630"/>
      <c r="G109" s="630"/>
      <c r="H109" s="630"/>
      <c r="I109" s="630"/>
      <c r="N109" s="650"/>
      <c r="O109" s="650"/>
      <c r="P109" s="650"/>
      <c r="Q109" s="650"/>
      <c r="R109" s="650"/>
      <c r="S109" s="650"/>
      <c r="T109" s="650"/>
      <c r="U109" s="650"/>
    </row>
    <row r="110" spans="1:21" x14ac:dyDescent="0.25">
      <c r="A110" s="618" t="s">
        <v>515</v>
      </c>
      <c r="C110" s="631"/>
      <c r="D110" s="619"/>
      <c r="E110" s="631" t="s">
        <v>32</v>
      </c>
      <c r="F110" s="742"/>
      <c r="G110" s="742"/>
      <c r="H110" s="742"/>
      <c r="I110" s="742"/>
      <c r="N110" s="746" t="s">
        <v>515</v>
      </c>
      <c r="O110" s="747"/>
      <c r="P110" s="747"/>
      <c r="Q110" s="759"/>
      <c r="R110" s="759"/>
      <c r="S110" s="759"/>
      <c r="T110" s="759"/>
      <c r="U110" s="103"/>
    </row>
    <row r="111" spans="1:21" x14ac:dyDescent="0.25">
      <c r="B111" s="619"/>
      <c r="C111" s="88" t="s">
        <v>510</v>
      </c>
      <c r="D111" s="349" t="s">
        <v>511</v>
      </c>
      <c r="E111" s="89" t="s">
        <v>107</v>
      </c>
      <c r="F111" s="631"/>
      <c r="G111" s="631"/>
      <c r="H111" s="631"/>
      <c r="I111" s="631"/>
      <c r="N111" s="638"/>
      <c r="O111" s="638"/>
      <c r="P111" s="638"/>
      <c r="Q111" s="651"/>
      <c r="R111" s="651"/>
      <c r="S111" s="651"/>
      <c r="T111" s="651"/>
      <c r="U111" s="103"/>
    </row>
    <row r="112" spans="1:21" x14ac:dyDescent="0.25">
      <c r="B112" s="619"/>
      <c r="C112" s="340" t="s">
        <v>2</v>
      </c>
      <c r="D112" s="340" t="s">
        <v>2</v>
      </c>
      <c r="E112" s="90" t="s">
        <v>2</v>
      </c>
      <c r="F112" s="631"/>
      <c r="G112" s="631"/>
      <c r="H112" s="631"/>
      <c r="I112" s="631"/>
      <c r="N112" s="638"/>
      <c r="O112" s="638"/>
      <c r="P112" s="638"/>
      <c r="Q112" s="651"/>
      <c r="R112" s="651"/>
      <c r="S112" s="651"/>
      <c r="T112" s="651"/>
      <c r="U112" s="103"/>
    </row>
    <row r="113" spans="1:21" x14ac:dyDescent="0.25">
      <c r="A113" s="717" t="s">
        <v>399</v>
      </c>
      <c r="B113" s="738"/>
      <c r="C113" s="143">
        <v>0</v>
      </c>
      <c r="D113" s="143">
        <v>0</v>
      </c>
      <c r="E113" s="116">
        <f>(C113+D113)/2</f>
        <v>0</v>
      </c>
      <c r="F113" s="126" t="s">
        <v>30</v>
      </c>
      <c r="G113" s="291">
        <v>567</v>
      </c>
      <c r="I113" s="101">
        <f>ROUND(G113*E113,2)</f>
        <v>0</v>
      </c>
      <c r="N113" s="755" t="s">
        <v>52</v>
      </c>
      <c r="O113" s="755"/>
      <c r="P113" s="754">
        <f>IF(H133=1,E113,0)</f>
        <v>0</v>
      </c>
      <c r="Q113" s="754"/>
      <c r="R113" s="754"/>
      <c r="S113" s="633" t="s">
        <v>30</v>
      </c>
      <c r="T113" s="58">
        <f>G113</f>
        <v>567</v>
      </c>
      <c r="U113" s="492">
        <f>ROUND(T113*P113,2)</f>
        <v>0</v>
      </c>
    </row>
    <row r="114" spans="1:21" x14ac:dyDescent="0.25">
      <c r="A114" s="717" t="s">
        <v>400</v>
      </c>
      <c r="B114" s="738"/>
      <c r="C114" s="143">
        <v>0</v>
      </c>
      <c r="D114" s="143">
        <v>0</v>
      </c>
      <c r="E114" s="116">
        <f>(C114+D114)/2</f>
        <v>0</v>
      </c>
      <c r="F114" s="126" t="s">
        <v>30</v>
      </c>
      <c r="G114" s="291">
        <v>1821</v>
      </c>
      <c r="I114" s="101">
        <f>ROUND(G114*E114,2)</f>
        <v>0</v>
      </c>
      <c r="N114" s="755" t="s">
        <v>64</v>
      </c>
      <c r="O114" s="755"/>
      <c r="P114" s="749"/>
      <c r="Q114" s="749"/>
      <c r="R114" s="749"/>
      <c r="S114" s="633" t="s">
        <v>30</v>
      </c>
      <c r="T114" s="58">
        <f>G114</f>
        <v>1821</v>
      </c>
      <c r="U114" s="492">
        <f>ROUND(T114*P114,2)</f>
        <v>0</v>
      </c>
    </row>
    <row r="115" spans="1:21" x14ac:dyDescent="0.25">
      <c r="A115" s="127"/>
      <c r="B115" s="127"/>
      <c r="C115" s="65"/>
      <c r="D115" s="65"/>
      <c r="E115" s="65"/>
      <c r="F115" s="65"/>
      <c r="G115" s="635"/>
      <c r="H115" s="129"/>
      <c r="I115" s="101"/>
      <c r="N115" s="647"/>
      <c r="O115" s="647"/>
      <c r="P115" s="131"/>
      <c r="Q115" s="131"/>
      <c r="R115" s="131"/>
      <c r="S115" s="633"/>
      <c r="T115" s="58"/>
      <c r="U115" s="103"/>
    </row>
    <row r="116" spans="1:21" x14ac:dyDescent="0.25">
      <c r="A116" s="127"/>
      <c r="B116" s="127"/>
      <c r="C116" s="65"/>
      <c r="D116" s="65"/>
      <c r="E116" s="65"/>
      <c r="F116" s="65"/>
      <c r="G116" s="635"/>
      <c r="H116" s="129"/>
      <c r="I116" s="101"/>
      <c r="N116" s="647"/>
      <c r="O116" s="647"/>
      <c r="P116" s="131"/>
      <c r="Q116" s="131"/>
      <c r="R116" s="131"/>
      <c r="S116" s="633"/>
      <c r="T116" s="58"/>
      <c r="U116" s="103"/>
    </row>
    <row r="117" spans="1:21" hidden="1" x14ac:dyDescent="0.25">
      <c r="A117" s="704" t="s">
        <v>516</v>
      </c>
      <c r="B117" s="705"/>
      <c r="C117" s="705"/>
      <c r="D117" s="619"/>
      <c r="E117" s="624" t="s">
        <v>317</v>
      </c>
      <c r="F117" s="714"/>
      <c r="G117" s="714"/>
      <c r="H117" s="714"/>
      <c r="I117" s="714"/>
      <c r="N117" s="746" t="s">
        <v>517</v>
      </c>
      <c r="O117" s="747"/>
      <c r="P117" s="747"/>
      <c r="Q117" s="747"/>
      <c r="R117" s="747"/>
      <c r="S117" s="747"/>
      <c r="T117" s="747"/>
      <c r="U117" s="747"/>
    </row>
    <row r="118" spans="1:21" hidden="1" x14ac:dyDescent="0.25">
      <c r="B118" s="619"/>
      <c r="C118" s="715" t="s">
        <v>66</v>
      </c>
      <c r="D118" s="715"/>
      <c r="E118" s="715"/>
      <c r="F118" s="622"/>
      <c r="G118" s="622"/>
      <c r="H118" s="624" t="s">
        <v>108</v>
      </c>
      <c r="I118" s="622"/>
      <c r="N118" s="638"/>
      <c r="O118" s="638"/>
      <c r="P118" s="638"/>
      <c r="Q118" s="638"/>
      <c r="R118" s="638"/>
      <c r="S118" s="638"/>
      <c r="T118" s="638"/>
      <c r="U118" s="638"/>
    </row>
    <row r="119" spans="1:21" hidden="1" x14ac:dyDescent="0.25">
      <c r="B119" s="619"/>
      <c r="C119" s="88" t="s">
        <v>329</v>
      </c>
      <c r="D119" s="88" t="s">
        <v>314</v>
      </c>
      <c r="E119" s="137" t="s">
        <v>8</v>
      </c>
      <c r="F119" s="718" t="s">
        <v>109</v>
      </c>
      <c r="G119" s="714"/>
      <c r="H119" s="622" t="s">
        <v>29</v>
      </c>
      <c r="I119" s="622"/>
      <c r="N119" s="638"/>
      <c r="O119" s="638"/>
      <c r="P119" s="638"/>
      <c r="Q119" s="638"/>
      <c r="R119" s="638"/>
      <c r="S119" s="638"/>
      <c r="T119" s="638"/>
      <c r="U119" s="638"/>
    </row>
    <row r="120" spans="1:21" hidden="1" x14ac:dyDescent="0.25">
      <c r="A120" s="715" t="s">
        <v>69</v>
      </c>
      <c r="B120" s="715"/>
      <c r="C120" s="90" t="s">
        <v>2</v>
      </c>
      <c r="D120" s="90" t="s">
        <v>2</v>
      </c>
      <c r="E120" s="623" t="s">
        <v>2</v>
      </c>
      <c r="F120" s="715" t="s">
        <v>28</v>
      </c>
      <c r="G120" s="715"/>
      <c r="H120" s="623" t="s">
        <v>28</v>
      </c>
      <c r="I120" s="623" t="s">
        <v>8</v>
      </c>
      <c r="N120" s="750" t="s">
        <v>53</v>
      </c>
      <c r="O120" s="750"/>
      <c r="P120" s="754" t="s">
        <v>66</v>
      </c>
      <c r="Q120" s="754"/>
      <c r="R120" s="750" t="s">
        <v>54</v>
      </c>
      <c r="S120" s="750"/>
      <c r="T120" s="646" t="s">
        <v>55</v>
      </c>
      <c r="U120" s="646"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idden="1" x14ac:dyDescent="0.25">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x14ac:dyDescent="0.25">
      <c r="A125" s="622"/>
      <c r="B125" s="622"/>
      <c r="C125" s="65"/>
      <c r="D125" s="65"/>
      <c r="E125" s="65"/>
      <c r="F125" s="65"/>
      <c r="G125" s="65"/>
      <c r="H125" s="65"/>
      <c r="I125" s="101"/>
      <c r="N125" s="632"/>
      <c r="O125" s="632"/>
      <c r="P125" s="66"/>
      <c r="Q125" s="66"/>
      <c r="R125" s="66"/>
      <c r="S125" s="66"/>
      <c r="T125" s="66"/>
      <c r="U125" s="138"/>
    </row>
    <row r="126" spans="1:21" x14ac:dyDescent="0.25">
      <c r="A126" s="704" t="s">
        <v>448</v>
      </c>
      <c r="B126" s="705"/>
      <c r="C126" s="705"/>
      <c r="D126" s="619"/>
      <c r="E126" s="620" t="s">
        <v>34</v>
      </c>
      <c r="F126" s="707"/>
      <c r="G126" s="707"/>
      <c r="H126" s="707"/>
      <c r="I126" s="154">
        <v>0</v>
      </c>
      <c r="N126" s="746" t="s">
        <v>448</v>
      </c>
      <c r="O126" s="747"/>
      <c r="P126" s="747"/>
      <c r="Q126" s="305"/>
      <c r="R126" s="305"/>
      <c r="S126" s="305"/>
      <c r="T126" s="305"/>
      <c r="U126" s="492">
        <f>IF($H$133=1,I126,0)</f>
        <v>0</v>
      </c>
    </row>
    <row r="127" spans="1:21" x14ac:dyDescent="0.25">
      <c r="B127" s="619"/>
      <c r="C127" s="619"/>
      <c r="D127" s="619"/>
      <c r="E127" s="620"/>
      <c r="F127" s="620"/>
      <c r="G127" s="620"/>
      <c r="H127" s="620"/>
      <c r="I127" s="116"/>
      <c r="N127" s="643"/>
      <c r="O127" s="638"/>
      <c r="P127" s="638"/>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329974.62</v>
      </c>
      <c r="J128" s="250"/>
      <c r="N128" s="643"/>
      <c r="O128" s="638"/>
      <c r="P128" s="638"/>
      <c r="Q128" s="305"/>
      <c r="R128" s="305"/>
      <c r="S128" s="305"/>
      <c r="T128" s="305"/>
      <c r="U128" s="499">
        <f>SUM(U30,U85,U88,U90,U92,U94,U96,U107,U113,U114,U124,U126)</f>
        <v>0</v>
      </c>
    </row>
    <row r="129" spans="1:21" ht="16.5" thickTop="1" x14ac:dyDescent="0.25">
      <c r="A129" s="621"/>
      <c r="B129" s="621"/>
      <c r="C129" s="621"/>
      <c r="D129" s="621"/>
      <c r="E129" s="621"/>
      <c r="F129" s="621"/>
      <c r="G129" s="621"/>
      <c r="H129" s="621"/>
      <c r="I129" s="101"/>
      <c r="J129" s="250"/>
      <c r="N129" s="643"/>
      <c r="O129" s="638"/>
      <c r="P129" s="638"/>
      <c r="Q129" s="305"/>
      <c r="R129" s="305"/>
      <c r="S129" s="305"/>
      <c r="T129" s="305"/>
      <c r="U129" s="103"/>
    </row>
    <row r="130" spans="1:21" ht="16.5" thickBot="1" x14ac:dyDescent="0.3">
      <c r="A130" s="618" t="s">
        <v>450</v>
      </c>
      <c r="B130" s="621"/>
      <c r="C130" s="621"/>
      <c r="D130" s="621"/>
      <c r="E130" s="621"/>
      <c r="F130" s="621"/>
      <c r="G130" s="621"/>
      <c r="H130" s="621"/>
      <c r="I130" s="101">
        <f>I128-I53</f>
        <v>318511.09999999998</v>
      </c>
      <c r="J130" s="250"/>
      <c r="N130" s="747" t="s">
        <v>450</v>
      </c>
      <c r="O130" s="747"/>
      <c r="P130" s="747"/>
      <c r="Q130" s="747"/>
      <c r="R130" s="747"/>
      <c r="S130" s="747"/>
      <c r="T130" s="747"/>
      <c r="U130" s="132">
        <f>U128-U53</f>
        <v>0</v>
      </c>
    </row>
    <row r="131" spans="1:21" ht="16.5" thickTop="1" x14ac:dyDescent="0.25">
      <c r="A131" s="621"/>
      <c r="B131" s="621"/>
      <c r="C131" s="621"/>
      <c r="D131" s="621"/>
      <c r="E131" s="621"/>
      <c r="F131" s="621"/>
      <c r="G131" s="621"/>
      <c r="H131" s="621"/>
      <c r="I131" s="101"/>
      <c r="J131" s="250"/>
      <c r="N131" s="648"/>
      <c r="O131" s="648"/>
      <c r="P131" s="648"/>
      <c r="Q131" s="648"/>
      <c r="R131" s="648"/>
      <c r="S131" s="648"/>
      <c r="T131" s="648"/>
      <c r="U131" s="138"/>
    </row>
    <row r="132" spans="1:21" x14ac:dyDescent="0.25">
      <c r="A132" s="704" t="s">
        <v>518</v>
      </c>
      <c r="B132" s="705"/>
      <c r="C132" s="705"/>
      <c r="D132" s="705"/>
      <c r="E132" s="705"/>
      <c r="F132" s="705"/>
      <c r="G132" s="705"/>
      <c r="H132" s="618" t="s">
        <v>351</v>
      </c>
      <c r="I132" s="134"/>
      <c r="J132" s="250"/>
      <c r="N132" s="746" t="s">
        <v>519</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648"/>
      <c r="O133" s="648"/>
      <c r="P133" s="648"/>
      <c r="Q133" s="648"/>
      <c r="R133" s="648"/>
      <c r="S133" s="648"/>
      <c r="T133" s="648"/>
      <c r="U133" s="138"/>
    </row>
    <row r="134" spans="1:21" x14ac:dyDescent="0.25">
      <c r="B134" s="619"/>
      <c r="C134" s="619"/>
      <c r="D134" s="619"/>
      <c r="E134" s="619"/>
      <c r="F134" s="619"/>
      <c r="G134" s="619"/>
      <c r="H134" s="65"/>
      <c r="I134" s="101"/>
      <c r="N134" s="648"/>
      <c r="O134" s="648"/>
      <c r="P134" s="648"/>
      <c r="Q134" s="648"/>
      <c r="R134" s="648"/>
      <c r="S134" s="648"/>
      <c r="T134" s="648"/>
      <c r="U134" s="138"/>
    </row>
    <row r="135" spans="1:21" x14ac:dyDescent="0.25">
      <c r="A135" s="3" t="s">
        <v>73</v>
      </c>
      <c r="B135" s="619"/>
      <c r="C135" s="619"/>
      <c r="D135" s="619"/>
      <c r="E135" s="619"/>
      <c r="F135" s="619"/>
      <c r="G135" s="257">
        <v>0</v>
      </c>
      <c r="H135" s="139">
        <f>IF(H133=1,I133,I130)</f>
        <v>318511.09999999998</v>
      </c>
      <c r="I135" s="94">
        <f>ROUND(IF(E30=0,0,IF(E30&gt;250,-(((250/E30)*H135)*IF(G135="H",0.02,0.05)),IF(G135="H",-0.02*H135,-0.05*H135))),2)</f>
        <v>-15925.56</v>
      </c>
      <c r="N135" s="743"/>
      <c r="O135" s="743"/>
      <c r="P135" s="743"/>
      <c r="Q135" s="743"/>
      <c r="R135" s="743"/>
      <c r="S135" s="743"/>
      <c r="T135" s="743"/>
      <c r="U135" s="743"/>
    </row>
    <row r="136" spans="1:21" x14ac:dyDescent="0.25">
      <c r="B136" s="619"/>
      <c r="C136" s="619"/>
      <c r="D136" s="619"/>
      <c r="E136" s="619"/>
      <c r="F136" s="619"/>
      <c r="G136" s="61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314049.06</v>
      </c>
      <c r="N137" s="71" t="s">
        <v>77</v>
      </c>
      <c r="O137" s="71"/>
      <c r="P137" s="71"/>
      <c r="Q137" s="71"/>
      <c r="R137" s="71"/>
      <c r="S137" s="71"/>
      <c r="T137" s="71"/>
      <c r="U137" s="71"/>
    </row>
    <row r="138" spans="1:21" x14ac:dyDescent="0.25">
      <c r="B138" s="619"/>
      <c r="C138" s="619"/>
      <c r="D138" s="619"/>
      <c r="E138" s="619"/>
      <c r="F138" s="619"/>
      <c r="G138" s="619"/>
      <c r="H138" s="65"/>
      <c r="I138" s="101"/>
      <c r="N138" s="72" t="s">
        <v>78</v>
      </c>
      <c r="O138" s="71"/>
      <c r="P138" s="71"/>
      <c r="Q138" s="71"/>
      <c r="R138" s="71"/>
      <c r="S138" s="71"/>
      <c r="T138" s="71"/>
      <c r="U138" s="71"/>
    </row>
    <row r="139" spans="1:21" x14ac:dyDescent="0.25">
      <c r="A139" s="3" t="s">
        <v>75</v>
      </c>
      <c r="B139" s="619"/>
      <c r="C139" s="140"/>
      <c r="D139" s="619"/>
      <c r="F139" s="619"/>
      <c r="G139" s="619"/>
      <c r="H139" s="65"/>
      <c r="I139" s="271">
        <f>-'Cumulative Payments'!Q70</f>
        <v>-44045.279999999999</v>
      </c>
      <c r="N139" s="645"/>
      <c r="O139" s="645"/>
      <c r="P139" s="645"/>
      <c r="Q139" s="645"/>
      <c r="R139" s="645"/>
      <c r="S139" s="645"/>
      <c r="T139" s="645"/>
      <c r="U139" s="645"/>
    </row>
    <row r="140" spans="1:21" x14ac:dyDescent="0.25">
      <c r="B140" s="619"/>
      <c r="C140" s="619"/>
      <c r="D140" s="619"/>
      <c r="E140" s="619"/>
      <c r="F140" s="619"/>
      <c r="G140" s="619"/>
      <c r="H140" s="65"/>
      <c r="I140" s="101"/>
      <c r="N140" s="645"/>
      <c r="O140" s="645"/>
      <c r="P140" s="645"/>
      <c r="Q140" s="645"/>
      <c r="R140" s="645"/>
      <c r="S140" s="645"/>
      <c r="T140" s="645"/>
      <c r="U140" s="645"/>
    </row>
    <row r="141" spans="1:21" x14ac:dyDescent="0.25">
      <c r="A141" s="3" t="s">
        <v>246</v>
      </c>
      <c r="B141" s="619"/>
      <c r="C141" s="619"/>
      <c r="D141" s="619"/>
      <c r="E141" s="619"/>
      <c r="F141" s="619"/>
      <c r="G141" s="619"/>
      <c r="H141" s="65"/>
      <c r="I141" s="101">
        <f>I137+I139</f>
        <v>270003.78000000003</v>
      </c>
      <c r="N141" s="645"/>
      <c r="O141" s="645"/>
      <c r="P141" s="645"/>
      <c r="Q141" s="645"/>
      <c r="R141" s="645"/>
      <c r="S141" s="645"/>
      <c r="T141" s="645"/>
      <c r="U141" s="645"/>
    </row>
    <row r="142" spans="1:21" x14ac:dyDescent="0.25">
      <c r="A142" s="3"/>
      <c r="B142" s="619"/>
      <c r="C142" s="619"/>
      <c r="D142" s="619"/>
      <c r="E142" s="619"/>
      <c r="F142" s="619"/>
      <c r="G142" s="619"/>
      <c r="H142" s="65"/>
      <c r="I142" s="101"/>
      <c r="N142" s="645"/>
      <c r="O142" s="645"/>
      <c r="P142" s="645"/>
      <c r="Q142" s="645"/>
      <c r="R142" s="645"/>
      <c r="S142" s="645"/>
      <c r="T142" s="645"/>
      <c r="U142" s="645"/>
    </row>
    <row r="143" spans="1:21" x14ac:dyDescent="0.25">
      <c r="A143" s="3" t="s">
        <v>247</v>
      </c>
      <c r="B143" s="619"/>
      <c r="C143" s="619"/>
      <c r="D143" s="619"/>
      <c r="E143" s="619"/>
      <c r="F143" s="619"/>
      <c r="G143" s="619"/>
      <c r="H143" s="65"/>
      <c r="I143" s="272">
        <f>'1461'!I143</f>
        <v>7</v>
      </c>
      <c r="N143" s="645"/>
      <c r="O143" s="645"/>
      <c r="P143" s="645"/>
      <c r="Q143" s="645"/>
      <c r="R143" s="645"/>
      <c r="S143" s="645"/>
      <c r="T143" s="645"/>
      <c r="U143" s="645"/>
    </row>
    <row r="144" spans="1:21" x14ac:dyDescent="0.25">
      <c r="B144" s="619"/>
      <c r="C144" s="619"/>
      <c r="D144" s="619"/>
      <c r="E144" s="619"/>
      <c r="F144" s="619"/>
      <c r="G144" s="619"/>
      <c r="H144" s="65"/>
      <c r="I144" s="101"/>
      <c r="N144" s="645"/>
      <c r="O144" s="645"/>
      <c r="P144" s="645"/>
      <c r="Q144" s="645"/>
      <c r="R144" s="645"/>
      <c r="S144" s="645"/>
      <c r="T144" s="645"/>
      <c r="U144" s="645"/>
    </row>
    <row r="145" spans="1:21" ht="16.5" thickBot="1" x14ac:dyDescent="0.3">
      <c r="A145" s="3" t="s">
        <v>76</v>
      </c>
      <c r="B145" s="619"/>
      <c r="C145" s="619"/>
      <c r="D145" s="619"/>
      <c r="E145" s="619"/>
      <c r="F145" s="619"/>
      <c r="G145" s="619"/>
      <c r="H145" s="65"/>
      <c r="I145" s="155">
        <f>ROUND(I141/I143,2)</f>
        <v>38571.97</v>
      </c>
      <c r="K145" s="437"/>
      <c r="N145" s="645"/>
      <c r="O145" s="645"/>
      <c r="P145" s="645"/>
      <c r="Q145" s="645"/>
      <c r="R145" s="645"/>
      <c r="S145" s="645"/>
      <c r="T145" s="645"/>
      <c r="U145" s="645"/>
    </row>
    <row r="146" spans="1:21" ht="16.5" thickTop="1" x14ac:dyDescent="0.25">
      <c r="B146" s="619"/>
      <c r="C146" s="619"/>
      <c r="D146" s="619"/>
      <c r="E146" s="619"/>
      <c r="F146" s="619"/>
      <c r="G146" s="619"/>
      <c r="H146" s="65"/>
      <c r="I146" s="101"/>
      <c r="N146" s="645"/>
      <c r="O146" s="645"/>
      <c r="P146" s="645"/>
      <c r="Q146" s="645"/>
      <c r="R146" s="645"/>
      <c r="S146" s="645"/>
      <c r="T146" s="645"/>
      <c r="U146" s="645"/>
    </row>
    <row r="147" spans="1:21" ht="16.5" thickBot="1" x14ac:dyDescent="0.3">
      <c r="A147" s="3" t="s">
        <v>90</v>
      </c>
      <c r="B147" s="619"/>
      <c r="C147" s="619"/>
      <c r="D147" s="619"/>
      <c r="E147" s="619"/>
      <c r="F147" s="619"/>
      <c r="G147" s="619"/>
      <c r="H147" s="65"/>
      <c r="I147" s="133">
        <f>ROUND(IF(G135="H",(H135*0.02)+I135,(H135*0.05)+I135),2)</f>
        <v>0</v>
      </c>
      <c r="N147" s="645"/>
      <c r="O147" s="645"/>
      <c r="P147" s="645"/>
      <c r="Q147" s="645"/>
      <c r="R147" s="645"/>
      <c r="S147" s="645"/>
      <c r="T147" s="645"/>
      <c r="U147" s="645"/>
    </row>
    <row r="148" spans="1:21" ht="16.5" thickTop="1" x14ac:dyDescent="0.25">
      <c r="B148" s="619"/>
      <c r="C148" s="619"/>
      <c r="D148" s="619"/>
      <c r="E148" s="619"/>
      <c r="F148" s="619"/>
      <c r="G148" s="619"/>
      <c r="H148" s="65"/>
      <c r="I148" s="134"/>
      <c r="N148" s="645"/>
      <c r="O148" s="645"/>
      <c r="P148" s="645"/>
      <c r="Q148" s="645"/>
      <c r="R148" s="645"/>
      <c r="S148" s="645"/>
      <c r="T148" s="645"/>
      <c r="U148" s="645"/>
    </row>
    <row r="149" spans="1:21" x14ac:dyDescent="0.25">
      <c r="B149" s="619"/>
      <c r="C149" s="619"/>
      <c r="D149" s="619"/>
      <c r="E149" s="619"/>
      <c r="F149" s="619"/>
      <c r="G149" s="619"/>
      <c r="H149" s="65"/>
      <c r="I149" s="101"/>
      <c r="N149" s="645"/>
      <c r="O149" s="645"/>
      <c r="P149" s="645"/>
      <c r="Q149" s="645"/>
      <c r="R149" s="645"/>
      <c r="S149" s="645"/>
      <c r="T149" s="645"/>
      <c r="U149" s="645"/>
    </row>
    <row r="150" spans="1:21" x14ac:dyDescent="0.25">
      <c r="B150" s="619"/>
      <c r="C150" s="619"/>
      <c r="D150" s="619"/>
      <c r="E150" s="619"/>
      <c r="F150" s="619"/>
      <c r="G150" s="619"/>
      <c r="H150" s="65"/>
      <c r="I150" s="134"/>
      <c r="N150" s="645"/>
      <c r="O150" s="645"/>
      <c r="P150" s="645"/>
      <c r="Q150" s="645"/>
      <c r="R150" s="645"/>
      <c r="S150" s="645"/>
      <c r="T150" s="645"/>
      <c r="U150" s="645"/>
    </row>
    <row r="151" spans="1:21" ht="12.75" customHeight="1" x14ac:dyDescent="0.25">
      <c r="A151" s="357" t="s">
        <v>7</v>
      </c>
      <c r="B151" s="357"/>
      <c r="C151" s="357"/>
      <c r="D151" s="357"/>
      <c r="E151" s="357"/>
      <c r="F151" s="357"/>
      <c r="G151" s="357"/>
      <c r="H151" s="357"/>
      <c r="I151" s="357"/>
      <c r="J151" s="134"/>
      <c r="N151" s="645"/>
      <c r="O151" s="645"/>
      <c r="P151" s="645"/>
      <c r="Q151" s="645"/>
      <c r="R151" s="645"/>
      <c r="S151" s="645"/>
      <c r="T151" s="645"/>
      <c r="U151" s="645"/>
    </row>
    <row r="152" spans="1:21" ht="12.75" customHeight="1" x14ac:dyDescent="0.25">
      <c r="A152" s="358" t="s">
        <v>259</v>
      </c>
      <c r="B152" s="359"/>
      <c r="C152" s="359"/>
      <c r="D152" s="359"/>
      <c r="E152" s="359"/>
      <c r="F152" s="359"/>
      <c r="G152" s="359"/>
      <c r="H152" s="359"/>
      <c r="I152" s="359"/>
      <c r="J152" s="77"/>
      <c r="K152" s="339"/>
      <c r="L152" s="76"/>
      <c r="M152" s="76"/>
      <c r="N152" s="645"/>
      <c r="O152" s="645"/>
      <c r="P152" s="645"/>
      <c r="Q152" s="645"/>
      <c r="R152" s="645"/>
      <c r="S152" s="645"/>
      <c r="T152" s="645"/>
      <c r="U152" s="645"/>
    </row>
    <row r="153" spans="1:21" ht="12.75" customHeight="1" x14ac:dyDescent="0.25">
      <c r="A153" s="364" t="s">
        <v>390</v>
      </c>
      <c r="B153" s="359"/>
      <c r="C153" s="359"/>
      <c r="D153" s="359"/>
      <c r="E153" s="359"/>
      <c r="F153" s="359"/>
      <c r="G153" s="359"/>
      <c r="H153" s="359"/>
      <c r="I153" s="359"/>
      <c r="J153" s="77"/>
      <c r="K153" s="339"/>
      <c r="L153" s="76"/>
      <c r="M153" s="76"/>
      <c r="N153" s="645"/>
      <c r="O153" s="645"/>
      <c r="P153" s="645"/>
      <c r="Q153" s="645"/>
      <c r="R153" s="645"/>
      <c r="S153" s="645"/>
      <c r="T153" s="645"/>
      <c r="U153" s="645"/>
    </row>
    <row r="154" spans="1:21" ht="12.75" customHeight="1" x14ac:dyDescent="0.25">
      <c r="A154" s="361" t="s">
        <v>391</v>
      </c>
      <c r="B154" s="360"/>
      <c r="C154" s="360"/>
      <c r="D154" s="360"/>
      <c r="E154" s="360"/>
      <c r="F154" s="360"/>
      <c r="G154" s="360"/>
      <c r="H154" s="360"/>
      <c r="I154" s="360"/>
      <c r="J154" s="76"/>
      <c r="K154" s="76"/>
      <c r="L154" s="76"/>
      <c r="M154" s="76"/>
      <c r="N154" s="645"/>
      <c r="O154" s="645"/>
      <c r="P154" s="645"/>
      <c r="Q154" s="645"/>
      <c r="R154" s="645"/>
      <c r="S154" s="645"/>
      <c r="T154" s="645"/>
      <c r="U154" s="645"/>
    </row>
    <row r="155" spans="1:21" s="76" customFormat="1" ht="12.75" customHeight="1" x14ac:dyDescent="0.2">
      <c r="A155" s="361" t="s">
        <v>392</v>
      </c>
      <c r="B155" s="360"/>
      <c r="C155" s="360"/>
      <c r="D155" s="360"/>
      <c r="E155" s="360"/>
      <c r="F155" s="360"/>
      <c r="G155" s="360"/>
      <c r="H155" s="360"/>
      <c r="I155" s="360"/>
      <c r="N155" s="745"/>
      <c r="O155" s="745"/>
      <c r="P155" s="745"/>
      <c r="Q155" s="745"/>
      <c r="R155" s="745"/>
      <c r="S155" s="745"/>
      <c r="T155" s="745"/>
      <c r="U155" s="745"/>
    </row>
    <row r="156" spans="1:21" s="76" customFormat="1" ht="12.75" customHeight="1" x14ac:dyDescent="0.2">
      <c r="A156" s="361" t="s">
        <v>393</v>
      </c>
      <c r="B156" s="360"/>
      <c r="C156" s="360"/>
      <c r="D156" s="360"/>
      <c r="E156" s="360"/>
      <c r="F156" s="360"/>
      <c r="G156" s="360"/>
      <c r="H156" s="360"/>
      <c r="I156" s="360"/>
      <c r="N156" s="645"/>
      <c r="O156" s="645"/>
      <c r="P156" s="645"/>
      <c r="Q156" s="645"/>
      <c r="R156" s="645"/>
      <c r="S156" s="645"/>
      <c r="T156" s="645"/>
      <c r="U156" s="645"/>
    </row>
    <row r="157" spans="1:21" s="76" customFormat="1" ht="12.75" customHeight="1" x14ac:dyDescent="0.2">
      <c r="A157" s="361" t="s">
        <v>394</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395</v>
      </c>
      <c r="B158" s="360"/>
      <c r="C158" s="360"/>
      <c r="D158" s="360"/>
      <c r="E158" s="360"/>
      <c r="F158" s="360"/>
      <c r="G158" s="360"/>
      <c r="H158" s="360"/>
      <c r="I158" s="360"/>
      <c r="N158" s="78"/>
    </row>
    <row r="159" spans="1:21" s="76" customFormat="1" ht="12.75" customHeight="1" x14ac:dyDescent="0.2">
      <c r="A159" s="361" t="s">
        <v>397</v>
      </c>
      <c r="B159" s="360"/>
      <c r="C159" s="360"/>
      <c r="D159" s="360"/>
      <c r="E159" s="360"/>
      <c r="F159" s="360"/>
      <c r="G159" s="360"/>
      <c r="H159" s="360"/>
      <c r="I159" s="360"/>
      <c r="K159" s="360"/>
      <c r="N159" s="78"/>
    </row>
    <row r="160" spans="1:21" s="76" customFormat="1" ht="12.75" customHeight="1" x14ac:dyDescent="0.2">
      <c r="A160" s="366" t="s">
        <v>396</v>
      </c>
      <c r="B160" s="360"/>
      <c r="C160" s="360"/>
      <c r="D160" s="360"/>
      <c r="E160" s="360"/>
      <c r="F160" s="360"/>
      <c r="G160" s="360"/>
      <c r="H160" s="360"/>
      <c r="I160" s="360"/>
      <c r="N160" s="78"/>
    </row>
    <row r="161" spans="1:14" s="76" customFormat="1" ht="12.75" customHeight="1" x14ac:dyDescent="0.2">
      <c r="A161" s="361" t="s">
        <v>398</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401</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403</v>
      </c>
      <c r="B165" s="360"/>
      <c r="C165" s="360"/>
      <c r="D165" s="360"/>
      <c r="E165" s="360"/>
      <c r="F165" s="360"/>
      <c r="G165" s="360"/>
      <c r="H165" s="360"/>
      <c r="I165" s="360"/>
      <c r="N165" s="78"/>
    </row>
    <row r="166" spans="1:14" s="76" customFormat="1" ht="12.75" customHeight="1" x14ac:dyDescent="0.2">
      <c r="A166" s="366" t="s">
        <v>402</v>
      </c>
      <c r="B166" s="360"/>
      <c r="C166" s="360"/>
      <c r="D166" s="360"/>
      <c r="E166" s="360"/>
      <c r="F166" s="360"/>
      <c r="G166" s="360"/>
      <c r="H166" s="360"/>
      <c r="I166" s="360"/>
      <c r="N166" s="78"/>
    </row>
    <row r="167" spans="1:14" s="76" customFormat="1" ht="12.75" customHeight="1" x14ac:dyDescent="0.2">
      <c r="A167" s="361" t="s">
        <v>404</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406</v>
      </c>
      <c r="B169" s="360"/>
      <c r="C169" s="360"/>
      <c r="D169" s="360"/>
      <c r="E169" s="360"/>
      <c r="F169" s="360"/>
      <c r="G169" s="360"/>
      <c r="H169" s="360"/>
      <c r="I169" s="360"/>
      <c r="N169" s="78"/>
    </row>
    <row r="170" spans="1:14" s="76" customFormat="1" ht="12.75" customHeight="1" x14ac:dyDescent="0.2">
      <c r="A170" s="366" t="s">
        <v>405</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407</v>
      </c>
      <c r="B175" s="370"/>
      <c r="C175" s="370"/>
      <c r="D175" s="370"/>
      <c r="E175" s="370"/>
      <c r="F175" s="370"/>
      <c r="G175" s="370"/>
      <c r="H175" s="370"/>
      <c r="I175" s="370"/>
      <c r="N175" s="78"/>
    </row>
    <row r="176" spans="1:14" s="76" customFormat="1" ht="12.75" customHeight="1" x14ac:dyDescent="0.2">
      <c r="A176" s="367" t="s">
        <v>408</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32ED-7795-4980-BB31-60B5D47672AF}">
  <sheetPr>
    <tabColor rgb="FFFFCCCC"/>
  </sheetPr>
  <dimension ref="A1:V246"/>
  <sheetViews>
    <sheetView workbookViewId="0">
      <selection activeCell="D56" sqref="D56"/>
    </sheetView>
  </sheetViews>
  <sheetFormatPr defaultColWidth="9.140625" defaultRowHeight="15.75" x14ac:dyDescent="0.25"/>
  <cols>
    <col min="1" max="1" width="10.28515625" style="592"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8" t="s">
        <v>15</v>
      </c>
      <c r="C1" s="729"/>
      <c r="D1" s="729"/>
      <c r="E1" s="729"/>
      <c r="F1" s="729"/>
      <c r="G1" s="729"/>
      <c r="H1" s="729"/>
      <c r="I1" s="729"/>
      <c r="J1" s="135"/>
      <c r="K1" s="135"/>
      <c r="L1" s="135"/>
      <c r="N1" s="82">
        <f>A1</f>
        <v>50</v>
      </c>
      <c r="O1" s="809" t="s">
        <v>15</v>
      </c>
      <c r="P1" s="810"/>
      <c r="Q1" s="810"/>
      <c r="R1" s="810"/>
      <c r="S1" s="810"/>
      <c r="T1" s="810"/>
      <c r="U1" s="810"/>
    </row>
    <row r="2" spans="1:21" ht="21" x14ac:dyDescent="0.35">
      <c r="A2" s="1" t="s">
        <v>536</v>
      </c>
      <c r="B2" s="2"/>
      <c r="C2" s="2"/>
      <c r="D2" s="2"/>
      <c r="E2" s="2"/>
      <c r="F2" s="2"/>
      <c r="G2" s="2"/>
      <c r="H2" s="2"/>
      <c r="I2" s="2"/>
      <c r="N2" s="811" t="s">
        <v>18</v>
      </c>
      <c r="O2" s="811"/>
      <c r="P2" s="811"/>
      <c r="Q2" s="811"/>
      <c r="R2" s="811"/>
      <c r="S2" s="811"/>
      <c r="T2" s="811"/>
      <c r="U2" s="811"/>
    </row>
    <row r="3" spans="1:21" x14ac:dyDescent="0.25">
      <c r="A3" s="253" t="s">
        <v>526</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613"/>
      <c r="O5" s="613"/>
      <c r="P5" s="614"/>
      <c r="Q5" s="614"/>
      <c r="R5" s="5"/>
      <c r="S5" s="5"/>
      <c r="T5" s="5"/>
      <c r="U5" s="5"/>
    </row>
    <row r="6" spans="1:21" ht="12" customHeight="1" x14ac:dyDescent="0.25">
      <c r="A6" s="615"/>
      <c r="B6" s="615"/>
      <c r="C6" s="590"/>
      <c r="D6" s="590"/>
      <c r="E6" s="590"/>
      <c r="F6" s="4"/>
      <c r="G6" s="4"/>
      <c r="H6" s="4"/>
      <c r="I6" s="4"/>
      <c r="N6" s="613"/>
      <c r="O6" s="613"/>
      <c r="P6" s="614"/>
      <c r="Q6" s="614"/>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v>5330.98</v>
      </c>
      <c r="D8" s="86"/>
      <c r="E8" s="87"/>
      <c r="F8" s="84"/>
      <c r="G8" s="85" t="s">
        <v>411</v>
      </c>
      <c r="H8" s="286">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v>1</v>
      </c>
      <c r="I9" s="75"/>
      <c r="N9" s="616"/>
      <c r="O9" s="616"/>
      <c r="P9" s="617"/>
      <c r="Q9" s="617"/>
      <c r="R9" s="611" t="s">
        <v>410</v>
      </c>
      <c r="S9" s="611"/>
      <c r="T9" s="808">
        <f>H9</f>
        <v>1</v>
      </c>
      <c r="U9" s="808"/>
    </row>
    <row r="10" spans="1:21" x14ac:dyDescent="0.25">
      <c r="A10" s="7"/>
      <c r="B10" s="7" t="s">
        <v>328</v>
      </c>
      <c r="C10" s="8" t="s">
        <v>328</v>
      </c>
      <c r="D10" s="8" t="s">
        <v>328</v>
      </c>
      <c r="E10" s="8"/>
      <c r="F10" s="9"/>
      <c r="G10" s="9"/>
      <c r="H10" s="10"/>
      <c r="I10" s="341" t="s">
        <v>525</v>
      </c>
      <c r="N10" s="616"/>
      <c r="O10" s="616"/>
      <c r="P10" s="617"/>
      <c r="Q10" s="617"/>
      <c r="R10" s="14"/>
      <c r="S10" s="14"/>
      <c r="T10" s="15"/>
      <c r="U10" s="384" t="str">
        <f>I10</f>
        <v>2024-25</v>
      </c>
    </row>
    <row r="11" spans="1:21" x14ac:dyDescent="0.25">
      <c r="A11" s="7"/>
      <c r="B11" s="7"/>
      <c r="C11" s="88" t="s">
        <v>534</v>
      </c>
      <c r="D11" s="349" t="s">
        <v>535</v>
      </c>
      <c r="E11" s="89" t="s">
        <v>8</v>
      </c>
      <c r="F11" s="733" t="s">
        <v>1</v>
      </c>
      <c r="G11" s="733"/>
      <c r="H11" s="10" t="s">
        <v>60</v>
      </c>
      <c r="I11" s="11" t="s">
        <v>27</v>
      </c>
      <c r="N11" s="616"/>
      <c r="O11" s="616"/>
      <c r="P11" s="617"/>
      <c r="Q11" s="617"/>
      <c r="R11" s="799" t="s">
        <v>1</v>
      </c>
      <c r="S11" s="799"/>
      <c r="T11" s="15" t="s">
        <v>60</v>
      </c>
      <c r="U11" s="16" t="s">
        <v>27</v>
      </c>
    </row>
    <row r="12" spans="1:21" ht="15.75" customHeight="1" x14ac:dyDescent="0.25">
      <c r="A12" s="36" t="s">
        <v>1</v>
      </c>
      <c r="B12" s="36"/>
      <c r="C12" s="340" t="s">
        <v>2</v>
      </c>
      <c r="D12" s="340" t="s">
        <v>2</v>
      </c>
      <c r="E12" s="9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591"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0</v>
      </c>
      <c r="D18" s="143">
        <v>0</v>
      </c>
      <c r="E18" s="116">
        <f>IF(D$30=0,C18*2,C18+D18)</f>
        <v>0</v>
      </c>
      <c r="F18" s="788">
        <v>0.97799999999999998</v>
      </c>
      <c r="G18" s="788"/>
      <c r="H18" s="80">
        <f t="shared" si="2"/>
        <v>0</v>
      </c>
      <c r="I18" s="101">
        <f t="shared" si="3"/>
        <v>0</v>
      </c>
      <c r="N18" s="747" t="s">
        <v>24</v>
      </c>
      <c r="O18" s="747"/>
      <c r="P18" s="789">
        <f t="shared" si="0"/>
        <v>0</v>
      </c>
      <c r="Q18" s="789"/>
      <c r="R18" s="793">
        <v>1</v>
      </c>
      <c r="S18" s="793"/>
      <c r="T18" s="95">
        <f t="shared" si="4"/>
        <v>0</v>
      </c>
      <c r="U18" s="492">
        <f t="shared" si="5"/>
        <v>0</v>
      </c>
    </row>
    <row r="19" spans="1:21" x14ac:dyDescent="0.25">
      <c r="A19" s="705" t="s">
        <v>25</v>
      </c>
      <c r="B19" s="705"/>
      <c r="C19" s="143">
        <v>1</v>
      </c>
      <c r="D19" s="143">
        <v>0</v>
      </c>
      <c r="E19" s="116">
        <f t="shared" si="1"/>
        <v>2</v>
      </c>
      <c r="F19" s="788">
        <v>0.97799999999999998</v>
      </c>
      <c r="G19" s="788"/>
      <c r="H19" s="80">
        <f>ROUND(E19*F19,4)</f>
        <v>1.956</v>
      </c>
      <c r="I19" s="101">
        <f>ROUND(ROUND(ROUND(H19*$C$8,4)*($H$8),2)*(MAX($H$9,1)),2)</f>
        <v>10852.83</v>
      </c>
      <c r="J19" s="65" t="str">
        <f>IF(ROUND(E19,2)=ROUND(SUM(E63:E65),2)," ","CHECK 4-8 LINES BELOW")</f>
        <v xml:space="preserve"> </v>
      </c>
      <c r="N19" s="747" t="s">
        <v>25</v>
      </c>
      <c r="O19" s="747"/>
      <c r="P19" s="789">
        <f t="shared" si="0"/>
        <v>2</v>
      </c>
      <c r="Q19" s="789"/>
      <c r="R19" s="793">
        <v>1</v>
      </c>
      <c r="S19" s="793"/>
      <c r="T19" s="95">
        <f t="shared" si="4"/>
        <v>2</v>
      </c>
      <c r="U19" s="491">
        <f t="shared" si="5"/>
        <v>11096.97</v>
      </c>
    </row>
    <row r="20" spans="1:21" x14ac:dyDescent="0.25">
      <c r="A20" s="705" t="s">
        <v>79</v>
      </c>
      <c r="B20" s="705"/>
      <c r="C20" s="143">
        <v>3.5</v>
      </c>
      <c r="D20" s="143">
        <v>0</v>
      </c>
      <c r="E20" s="116">
        <f t="shared" si="1"/>
        <v>7</v>
      </c>
      <c r="F20" s="788">
        <v>3.6970000000000001</v>
      </c>
      <c r="G20" s="788"/>
      <c r="H20" s="80">
        <f t="shared" si="2"/>
        <v>25.879000000000001</v>
      </c>
      <c r="I20" s="101">
        <f t="shared" si="3"/>
        <v>143589.22</v>
      </c>
      <c r="N20" s="747" t="s">
        <v>79</v>
      </c>
      <c r="O20" s="747"/>
      <c r="P20" s="789">
        <f t="shared" si="0"/>
        <v>7</v>
      </c>
      <c r="Q20" s="789"/>
      <c r="R20" s="793">
        <v>1</v>
      </c>
      <c r="S20" s="793"/>
      <c r="T20" s="95">
        <f t="shared" si="4"/>
        <v>7</v>
      </c>
      <c r="U20" s="492">
        <f t="shared" si="5"/>
        <v>38839.39</v>
      </c>
    </row>
    <row r="21" spans="1:21" x14ac:dyDescent="0.25">
      <c r="A21" s="705" t="s">
        <v>80</v>
      </c>
      <c r="B21" s="705"/>
      <c r="C21" s="143">
        <v>1</v>
      </c>
      <c r="D21" s="143">
        <v>0</v>
      </c>
      <c r="E21" s="116">
        <f t="shared" si="1"/>
        <v>2</v>
      </c>
      <c r="F21" s="788">
        <v>3.6970000000000001</v>
      </c>
      <c r="G21" s="788"/>
      <c r="H21" s="80">
        <f t="shared" si="2"/>
        <v>7.3940000000000001</v>
      </c>
      <c r="I21" s="101">
        <f t="shared" si="3"/>
        <v>41025.49</v>
      </c>
      <c r="N21" s="747" t="s">
        <v>80</v>
      </c>
      <c r="O21" s="747"/>
      <c r="P21" s="789">
        <f t="shared" si="0"/>
        <v>2</v>
      </c>
      <c r="Q21" s="789"/>
      <c r="R21" s="793">
        <v>1</v>
      </c>
      <c r="S21" s="793"/>
      <c r="T21" s="95">
        <f t="shared" si="4"/>
        <v>2</v>
      </c>
      <c r="U21" s="492">
        <f t="shared" si="5"/>
        <v>11096.97</v>
      </c>
    </row>
    <row r="22" spans="1:21" x14ac:dyDescent="0.25">
      <c r="A22" s="705" t="s">
        <v>81</v>
      </c>
      <c r="B22" s="705"/>
      <c r="C22" s="143">
        <v>0</v>
      </c>
      <c r="D22" s="143">
        <v>0</v>
      </c>
      <c r="E22" s="116">
        <f t="shared" si="1"/>
        <v>0</v>
      </c>
      <c r="F22" s="788">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v>1.1919999999999999</v>
      </c>
      <c r="G26" s="788"/>
      <c r="H26" s="80">
        <f t="shared" si="2"/>
        <v>0</v>
      </c>
      <c r="I26" s="101">
        <f t="shared" si="3"/>
        <v>0</v>
      </c>
      <c r="L26" s="250"/>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v>1.1919999999999999</v>
      </c>
      <c r="G27" s="788"/>
      <c r="H27" s="80">
        <f t="shared" si="2"/>
        <v>0</v>
      </c>
      <c r="I27" s="101">
        <f t="shared" si="3"/>
        <v>0</v>
      </c>
      <c r="L27" s="250"/>
      <c r="N27" s="747" t="s">
        <v>86</v>
      </c>
      <c r="O27" s="747"/>
      <c r="P27" s="789">
        <f t="shared" si="0"/>
        <v>0</v>
      </c>
      <c r="Q27" s="789"/>
      <c r="R27" s="793">
        <v>1</v>
      </c>
      <c r="S27" s="793"/>
      <c r="T27" s="95">
        <f t="shared" si="4"/>
        <v>0</v>
      </c>
      <c r="U27" s="492">
        <f t="shared" si="5"/>
        <v>0</v>
      </c>
    </row>
    <row r="28" spans="1:21" x14ac:dyDescent="0.25">
      <c r="A28" s="705" t="s">
        <v>87</v>
      </c>
      <c r="B28" s="705"/>
      <c r="C28" s="143">
        <v>0</v>
      </c>
      <c r="D28" s="143">
        <v>0</v>
      </c>
      <c r="E28" s="116">
        <f t="shared" si="1"/>
        <v>0</v>
      </c>
      <c r="F28" s="788">
        <v>1.1919999999999999</v>
      </c>
      <c r="G28" s="788"/>
      <c r="H28" s="80">
        <f t="shared" si="2"/>
        <v>0</v>
      </c>
      <c r="I28" s="101">
        <f t="shared" si="3"/>
        <v>0</v>
      </c>
      <c r="N28" s="747" t="s">
        <v>87</v>
      </c>
      <c r="O28" s="747"/>
      <c r="P28" s="789">
        <f t="shared" si="0"/>
        <v>0</v>
      </c>
      <c r="Q28" s="789"/>
      <c r="R28" s="793">
        <v>1</v>
      </c>
      <c r="S28" s="793"/>
      <c r="T28" s="95">
        <f t="shared" si="4"/>
        <v>0</v>
      </c>
      <c r="U28" s="492">
        <f t="shared" si="5"/>
        <v>0</v>
      </c>
    </row>
    <row r="29" spans="1:21" x14ac:dyDescent="0.25">
      <c r="A29" s="705" t="s">
        <v>88</v>
      </c>
      <c r="B29" s="705"/>
      <c r="C29" s="110">
        <v>0</v>
      </c>
      <c r="D29" s="110">
        <v>0</v>
      </c>
      <c r="E29" s="154">
        <f t="shared" si="1"/>
        <v>0</v>
      </c>
      <c r="F29" s="788">
        <v>1.079</v>
      </c>
      <c r="G29" s="788"/>
      <c r="H29" s="93">
        <f t="shared" si="2"/>
        <v>0</v>
      </c>
      <c r="I29" s="94">
        <f t="shared" si="3"/>
        <v>0</v>
      </c>
      <c r="N29" s="748" t="s">
        <v>88</v>
      </c>
      <c r="O29" s="748"/>
      <c r="P29" s="789">
        <f t="shared" si="0"/>
        <v>0</v>
      </c>
      <c r="Q29" s="789"/>
      <c r="R29" s="790">
        <v>1</v>
      </c>
      <c r="S29" s="790"/>
      <c r="T29" s="95">
        <f t="shared" si="4"/>
        <v>0</v>
      </c>
      <c r="U29" s="492">
        <f t="shared" si="5"/>
        <v>0</v>
      </c>
    </row>
    <row r="30" spans="1:21" x14ac:dyDescent="0.25">
      <c r="A30" s="708" t="s">
        <v>5</v>
      </c>
      <c r="B30" s="708"/>
      <c r="C30" s="94">
        <f>SUM(C14:C29)</f>
        <v>5.5</v>
      </c>
      <c r="D30" s="94">
        <f>SUM(D14:D29)</f>
        <v>0</v>
      </c>
      <c r="E30" s="94">
        <f>SUM(E14:E29)</f>
        <v>11</v>
      </c>
      <c r="F30" s="724"/>
      <c r="G30" s="724"/>
      <c r="H30" s="99">
        <f>SUM(H14:H29)</f>
        <v>35.228999999999999</v>
      </c>
      <c r="I30" s="94">
        <f>SUM(I14:I29)</f>
        <v>195467.53999999998</v>
      </c>
      <c r="N30" s="791" t="s">
        <v>5</v>
      </c>
      <c r="O30" s="791"/>
      <c r="P30" s="792">
        <f>SUM(P14:P29)</f>
        <v>11</v>
      </c>
      <c r="Q30" s="792"/>
      <c r="R30" s="781"/>
      <c r="S30" s="781"/>
      <c r="T30" s="100">
        <f>SUM(T14:T29)</f>
        <v>11</v>
      </c>
      <c r="U30" s="492">
        <f>SUM(U14:U29)</f>
        <v>61033.33</v>
      </c>
    </row>
    <row r="31" spans="1:21" hidden="1" x14ac:dyDescent="0.25">
      <c r="A31" s="596"/>
      <c r="B31" s="596"/>
      <c r="C31" s="101"/>
      <c r="D31" s="101"/>
      <c r="E31" s="101"/>
      <c r="F31" s="593"/>
      <c r="G31" s="593"/>
      <c r="H31" s="80"/>
      <c r="I31" s="101"/>
      <c r="N31" s="600"/>
      <c r="O31" s="600"/>
      <c r="P31" s="29"/>
      <c r="Q31" s="29"/>
      <c r="R31" s="606"/>
      <c r="S31" s="606"/>
      <c r="T31" s="102"/>
      <c r="U31" s="103"/>
    </row>
    <row r="32" spans="1:21" hidden="1" x14ac:dyDescent="0.25">
      <c r="A32" s="281" t="s">
        <v>251</v>
      </c>
      <c r="B32" s="596"/>
      <c r="C32" s="101"/>
      <c r="D32" s="101"/>
      <c r="E32" s="101"/>
      <c r="F32" s="593"/>
      <c r="G32" s="593"/>
      <c r="H32" s="80"/>
      <c r="I32" s="101"/>
      <c r="N32" s="600"/>
      <c r="O32" s="600"/>
      <c r="P32" s="29"/>
      <c r="Q32" s="29"/>
      <c r="R32" s="606"/>
      <c r="S32" s="606"/>
      <c r="T32" s="102"/>
      <c r="U32" s="103"/>
    </row>
    <row r="33" spans="1:21" hidden="1" x14ac:dyDescent="0.25">
      <c r="A33" s="146"/>
      <c r="B33" s="596"/>
      <c r="C33" s="101"/>
      <c r="D33" s="101"/>
      <c r="E33" s="101"/>
      <c r="F33" s="593"/>
      <c r="G33" s="593"/>
      <c r="H33" s="80"/>
      <c r="I33" s="101"/>
      <c r="N33" s="600"/>
      <c r="O33" s="600"/>
      <c r="P33" s="29"/>
      <c r="Q33" s="29"/>
      <c r="R33" s="606"/>
      <c r="S33" s="606"/>
      <c r="T33" s="102"/>
      <c r="U33" s="103"/>
    </row>
    <row r="34" spans="1:21" hidden="1" x14ac:dyDescent="0.25">
      <c r="A34" s="146"/>
      <c r="B34" s="596"/>
      <c r="C34" s="101"/>
      <c r="D34" s="101"/>
      <c r="E34" s="101"/>
      <c r="F34" s="783" t="s">
        <v>232</v>
      </c>
      <c r="G34" s="783"/>
      <c r="H34" s="783"/>
      <c r="I34" s="101"/>
      <c r="N34" s="600"/>
      <c r="O34" s="600"/>
      <c r="P34" s="29"/>
      <c r="Q34" s="29"/>
      <c r="R34" s="606"/>
      <c r="S34" s="606"/>
      <c r="T34" s="102"/>
      <c r="U34" s="103"/>
    </row>
    <row r="35" spans="1:21" ht="15.6" hidden="1" customHeight="1" x14ac:dyDescent="0.25">
      <c r="A35" s="3"/>
      <c r="B35" s="592"/>
      <c r="C35" s="592"/>
      <c r="D35" s="592"/>
      <c r="E35" s="592"/>
      <c r="F35" s="783"/>
      <c r="G35" s="783"/>
      <c r="H35" s="783"/>
      <c r="I35" s="24" t="str">
        <f>I10</f>
        <v>2024-25</v>
      </c>
      <c r="N35" s="751" t="s">
        <v>26</v>
      </c>
      <c r="O35" s="751"/>
      <c r="P35" s="751"/>
      <c r="Q35" s="751"/>
      <c r="R35" s="751"/>
      <c r="S35" s="751"/>
      <c r="T35" s="751"/>
      <c r="U35" s="25" t="str">
        <f>I35</f>
        <v>2024-25</v>
      </c>
    </row>
    <row r="36" spans="1:21" hidden="1" x14ac:dyDescent="0.25">
      <c r="A36" s="596"/>
      <c r="B36" s="596"/>
      <c r="C36" s="88" t="s">
        <v>334</v>
      </c>
      <c r="D36" s="88"/>
      <c r="E36" s="89" t="s">
        <v>8</v>
      </c>
      <c r="F36" s="783"/>
      <c r="G36" s="783"/>
      <c r="H36" s="783"/>
      <c r="I36" s="24" t="s">
        <v>27</v>
      </c>
      <c r="N36" s="600"/>
      <c r="O36" s="600"/>
      <c r="P36" s="29"/>
      <c r="Q36" s="29"/>
      <c r="R36" s="606"/>
      <c r="S36" s="606"/>
      <c r="T36" s="102"/>
      <c r="U36" s="25" t="s">
        <v>27</v>
      </c>
    </row>
    <row r="37" spans="1:21" ht="26.25" hidden="1" x14ac:dyDescent="0.25">
      <c r="A37" s="725" t="s">
        <v>50</v>
      </c>
      <c r="B37" s="725"/>
      <c r="C37" s="340" t="s">
        <v>2</v>
      </c>
      <c r="D37" s="340"/>
      <c r="E37" s="90" t="s">
        <v>2</v>
      </c>
      <c r="F37" s="784"/>
      <c r="G37" s="784"/>
      <c r="H37" s="784"/>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600"/>
      <c r="O45" s="600"/>
      <c r="P45" s="600"/>
      <c r="Q45" s="600"/>
      <c r="R45" s="33"/>
      <c r="S45" s="606"/>
      <c r="T45" s="606"/>
      <c r="U45" s="103"/>
    </row>
    <row r="46" spans="1:21" ht="16.5" hidden="1" thickBot="1" x14ac:dyDescent="0.3">
      <c r="A46" s="3"/>
      <c r="B46" s="52" t="s">
        <v>96</v>
      </c>
      <c r="E46" s="152">
        <f>H30+E44</f>
        <v>35.228999999999999</v>
      </c>
      <c r="F46" s="34"/>
      <c r="G46" s="106"/>
      <c r="H46" s="107" t="s">
        <v>98</v>
      </c>
      <c r="I46" s="94">
        <f>SUM(I44,I30)</f>
        <v>195467.53999999998</v>
      </c>
      <c r="N46" s="776" t="s">
        <v>44</v>
      </c>
      <c r="O46" s="776"/>
      <c r="P46" s="776"/>
      <c r="Q46" s="776"/>
      <c r="R46" s="35">
        <f>R44+T30</f>
        <v>11</v>
      </c>
      <c r="S46" s="781" t="s">
        <v>42</v>
      </c>
      <c r="T46" s="781"/>
      <c r="U46" s="108">
        <f>SUM(U44,U30)</f>
        <v>61033.33</v>
      </c>
    </row>
    <row r="47" spans="1:21" x14ac:dyDescent="0.25">
      <c r="A47" s="596"/>
      <c r="B47" s="596"/>
      <c r="C47" s="596"/>
      <c r="D47" s="596"/>
      <c r="E47" s="596"/>
      <c r="F47" s="34"/>
      <c r="G47" s="593"/>
      <c r="H47" s="593"/>
      <c r="I47" s="101"/>
      <c r="N47" s="600"/>
      <c r="O47" s="600"/>
      <c r="P47" s="600"/>
      <c r="Q47" s="600"/>
      <c r="R47" s="35"/>
      <c r="S47" s="606"/>
      <c r="T47" s="606"/>
      <c r="U47" s="103"/>
    </row>
    <row r="48" spans="1:21" x14ac:dyDescent="0.25">
      <c r="A48" s="594" t="s">
        <v>414</v>
      </c>
      <c r="B48" s="596"/>
      <c r="C48" s="596"/>
      <c r="D48" s="596"/>
      <c r="E48" s="596"/>
      <c r="F48" s="34"/>
      <c r="G48" s="593"/>
      <c r="H48" s="593"/>
      <c r="I48" s="101"/>
      <c r="N48" s="598" t="s">
        <v>414</v>
      </c>
      <c r="O48" s="600"/>
      <c r="P48" s="600"/>
      <c r="Q48" s="600"/>
      <c r="R48" s="35"/>
      <c r="S48" s="606"/>
      <c r="T48" s="606"/>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1" t="s">
        <v>545</v>
      </c>
      <c r="F50" s="411"/>
      <c r="G50" s="412"/>
      <c r="H50" s="412"/>
      <c r="I50" s="413"/>
      <c r="N50" s="431" t="s">
        <v>545</v>
      </c>
      <c r="O50" s="414"/>
      <c r="P50" s="414"/>
      <c r="Q50" s="414"/>
      <c r="R50" s="415"/>
      <c r="S50" s="416"/>
      <c r="T50" s="416"/>
      <c r="U50" s="423"/>
    </row>
    <row r="51" spans="1:22" x14ac:dyDescent="0.25">
      <c r="A51" s="408"/>
      <c r="B51" s="3" t="s">
        <v>528</v>
      </c>
      <c r="C51" s="596"/>
      <c r="D51" s="596"/>
      <c r="E51" s="585" t="s">
        <v>417</v>
      </c>
      <c r="F51" s="419">
        <v>195467.53999999998</v>
      </c>
      <c r="G51" s="109" t="s">
        <v>6</v>
      </c>
      <c r="H51" s="420">
        <v>5.5899999999999998E-2</v>
      </c>
      <c r="I51" s="101">
        <f>ROUND(F51*H51,2)</f>
        <v>10926.64</v>
      </c>
      <c r="N51" s="425"/>
      <c r="O51" s="51" t="s">
        <v>527</v>
      </c>
      <c r="P51" s="600"/>
      <c r="Q51" s="44" t="s">
        <v>417</v>
      </c>
      <c r="R51" s="427">
        <f>U30</f>
        <v>61033.33</v>
      </c>
      <c r="S51" s="428" t="s">
        <v>6</v>
      </c>
      <c r="T51" s="429">
        <v>5.5899999999999998E-2</v>
      </c>
      <c r="U51" s="421">
        <f>ROUND(R51*T51,2)</f>
        <v>3411.76</v>
      </c>
    </row>
    <row r="52" spans="1:22" x14ac:dyDescent="0.25">
      <c r="A52" s="596"/>
      <c r="B52" s="594" t="s">
        <v>532</v>
      </c>
      <c r="C52" s="596"/>
      <c r="D52" s="596"/>
      <c r="E52" s="585" t="s">
        <v>417</v>
      </c>
      <c r="F52" s="419">
        <v>195467.53999999998</v>
      </c>
      <c r="G52" s="109" t="s">
        <v>6</v>
      </c>
      <c r="H52" s="420">
        <v>1.0699999999999999E-2</v>
      </c>
      <c r="I52" s="101">
        <v>0</v>
      </c>
      <c r="N52" s="600"/>
      <c r="O52" s="598" t="s">
        <v>531</v>
      </c>
      <c r="P52" s="600"/>
      <c r="Q52" s="44" t="s">
        <v>417</v>
      </c>
      <c r="R52" s="427">
        <f>U30</f>
        <v>61033.33</v>
      </c>
      <c r="S52" s="428" t="s">
        <v>6</v>
      </c>
      <c r="T52" s="429">
        <v>1.0699999999999999E-2</v>
      </c>
      <c r="U52" s="430">
        <f>ROUND(R52*T52,2)</f>
        <v>653.05999999999995</v>
      </c>
    </row>
    <row r="53" spans="1:22" x14ac:dyDescent="0.25">
      <c r="A53" s="596"/>
      <c r="B53" s="594" t="s">
        <v>418</v>
      </c>
      <c r="C53" s="596"/>
      <c r="D53" s="596"/>
      <c r="E53" s="585"/>
      <c r="F53" s="419"/>
      <c r="G53" s="109"/>
      <c r="H53" s="420"/>
      <c r="I53" s="97">
        <f>SUM(I51:I52)</f>
        <v>10926.64</v>
      </c>
      <c r="N53" s="600"/>
      <c r="O53" s="598" t="s">
        <v>418</v>
      </c>
      <c r="P53" s="600"/>
      <c r="Q53" s="44"/>
      <c r="R53" s="427"/>
      <c r="S53" s="428"/>
      <c r="T53" s="429"/>
      <c r="U53" s="421">
        <f>SUM(U51:U52)</f>
        <v>4064.82</v>
      </c>
    </row>
    <row r="54" spans="1:22" x14ac:dyDescent="0.25">
      <c r="A54" s="241"/>
      <c r="C54" s="588" t="s">
        <v>462</v>
      </c>
      <c r="D54" s="588" t="s">
        <v>462</v>
      </c>
      <c r="G54" s="42"/>
      <c r="H54" s="114"/>
      <c r="I54" s="114"/>
      <c r="N54" s="480"/>
      <c r="O54" s="51"/>
      <c r="P54" s="40" t="s">
        <v>462</v>
      </c>
      <c r="Q54" s="40" t="s">
        <v>462</v>
      </c>
      <c r="R54" s="51"/>
      <c r="S54" s="51"/>
      <c r="T54" s="481"/>
      <c r="U54" s="482"/>
      <c r="V54" s="114"/>
    </row>
    <row r="55" spans="1:22" x14ac:dyDescent="0.25">
      <c r="A55" s="596"/>
      <c r="B55" s="596"/>
      <c r="C55" s="88" t="s">
        <v>534</v>
      </c>
      <c r="D55" s="349" t="s">
        <v>535</v>
      </c>
      <c r="E55" s="89" t="s">
        <v>8</v>
      </c>
      <c r="F55" s="46" t="s">
        <v>456</v>
      </c>
      <c r="G55" s="109" t="s">
        <v>457</v>
      </c>
      <c r="H55" s="473" t="s">
        <v>458</v>
      </c>
      <c r="I55" s="101"/>
      <c r="N55" s="600"/>
      <c r="O55" s="600"/>
      <c r="P55" s="483"/>
      <c r="Q55" s="484"/>
      <c r="R55" s="485"/>
      <c r="S55" s="487" t="s">
        <v>457</v>
      </c>
      <c r="T55" s="488" t="s">
        <v>458</v>
      </c>
      <c r="U55" s="486"/>
      <c r="V55" s="443"/>
    </row>
    <row r="56" spans="1:22" x14ac:dyDescent="0.25">
      <c r="A56" s="36" t="s">
        <v>459</v>
      </c>
      <c r="B56" s="36"/>
      <c r="C56" s="340" t="s">
        <v>2</v>
      </c>
      <c r="D56" s="340" t="s">
        <v>2</v>
      </c>
      <c r="E56" s="90" t="s">
        <v>2</v>
      </c>
      <c r="F56" s="591" t="s">
        <v>460</v>
      </c>
      <c r="G56" s="587" t="s">
        <v>460</v>
      </c>
      <c r="H56" s="474" t="s">
        <v>461</v>
      </c>
      <c r="I56" s="36"/>
      <c r="N56" s="478" t="s">
        <v>459</v>
      </c>
      <c r="O56" s="478"/>
      <c r="P56" s="777" t="s">
        <v>2</v>
      </c>
      <c r="Q56" s="777"/>
      <c r="R56" s="478" t="s">
        <v>465</v>
      </c>
      <c r="S56" s="612" t="s">
        <v>460</v>
      </c>
      <c r="T56" s="489" t="s">
        <v>461</v>
      </c>
      <c r="U56" s="478"/>
      <c r="V56" s="477"/>
    </row>
    <row r="57" spans="1:22" x14ac:dyDescent="0.25">
      <c r="A57" s="720" t="s">
        <v>463</v>
      </c>
      <c r="B57" s="720"/>
      <c r="C57" s="143">
        <v>0</v>
      </c>
      <c r="D57" s="143">
        <v>0</v>
      </c>
      <c r="E57" s="116">
        <f t="shared" ref="E57:E59" si="10">IF(D$72=0,C57*2,C57+D57)</f>
        <v>0</v>
      </c>
      <c r="F57" s="586" t="s">
        <v>455</v>
      </c>
      <c r="G57" s="586">
        <v>251</v>
      </c>
      <c r="H57" s="476">
        <v>1047</v>
      </c>
      <c r="I57" s="101">
        <f>ROUND(E57*H57,2)</f>
        <v>0</v>
      </c>
      <c r="N57" s="778" t="s">
        <v>463</v>
      </c>
      <c r="O57" s="778"/>
      <c r="P57" s="780"/>
      <c r="Q57" s="780"/>
      <c r="R57" s="608" t="s">
        <v>455</v>
      </c>
      <c r="S57" s="608">
        <v>251</v>
      </c>
      <c r="T57" s="479">
        <f>H57</f>
        <v>1047</v>
      </c>
      <c r="U57" s="493">
        <f>ROUND(P57*T57,2)</f>
        <v>0</v>
      </c>
      <c r="V57" s="443"/>
    </row>
    <row r="58" spans="1:22" x14ac:dyDescent="0.25">
      <c r="A58" s="721"/>
      <c r="B58" s="721"/>
      <c r="C58" s="143">
        <v>0</v>
      </c>
      <c r="D58" s="143">
        <v>0</v>
      </c>
      <c r="E58" s="116">
        <f t="shared" si="10"/>
        <v>0</v>
      </c>
      <c r="F58" s="586" t="s">
        <v>455</v>
      </c>
      <c r="G58" s="586">
        <v>252</v>
      </c>
      <c r="H58" s="476">
        <v>3380</v>
      </c>
      <c r="I58" s="101">
        <f t="shared" ref="I58:I65" si="11">ROUND(E58*H58,2)</f>
        <v>0</v>
      </c>
      <c r="N58" s="779"/>
      <c r="O58" s="779"/>
      <c r="P58" s="773"/>
      <c r="Q58" s="773"/>
      <c r="R58" s="608" t="s">
        <v>455</v>
      </c>
      <c r="S58" s="608">
        <v>252</v>
      </c>
      <c r="T58" s="479">
        <f t="shared" ref="T58:T65" si="12">H58</f>
        <v>3380</v>
      </c>
      <c r="U58" s="493">
        <f t="shared" ref="U58:U65" si="13">ROUND(P58*T58,2)</f>
        <v>0</v>
      </c>
      <c r="V58" s="443"/>
    </row>
    <row r="59" spans="1:22" x14ac:dyDescent="0.25">
      <c r="A59" s="721"/>
      <c r="B59" s="721"/>
      <c r="C59" s="143">
        <v>0</v>
      </c>
      <c r="D59" s="143">
        <v>0</v>
      </c>
      <c r="E59" s="116">
        <f t="shared" si="10"/>
        <v>0</v>
      </c>
      <c r="F59" s="586" t="s">
        <v>455</v>
      </c>
      <c r="G59" s="586">
        <v>253</v>
      </c>
      <c r="H59" s="476">
        <v>6896</v>
      </c>
      <c r="I59" s="101">
        <f t="shared" si="11"/>
        <v>0</v>
      </c>
      <c r="N59" s="779"/>
      <c r="O59" s="779"/>
      <c r="P59" s="773"/>
      <c r="Q59" s="773"/>
      <c r="R59" s="608" t="s">
        <v>455</v>
      </c>
      <c r="S59" s="608">
        <v>253</v>
      </c>
      <c r="T59" s="479">
        <f t="shared" si="12"/>
        <v>6896</v>
      </c>
      <c r="U59" s="493">
        <f t="shared" si="13"/>
        <v>0</v>
      </c>
      <c r="V59" s="443"/>
    </row>
    <row r="60" spans="1:22" x14ac:dyDescent="0.25">
      <c r="A60" s="721"/>
      <c r="B60" s="721"/>
      <c r="C60" s="143">
        <v>0</v>
      </c>
      <c r="D60" s="143">
        <v>0</v>
      </c>
      <c r="E60" s="116">
        <f t="shared" ref="E60:E65" si="14">IF(D$66=0,C60*2,C60+D60)</f>
        <v>0</v>
      </c>
      <c r="F60" s="588" t="s">
        <v>13</v>
      </c>
      <c r="G60" s="586">
        <v>251</v>
      </c>
      <c r="H60" s="476">
        <v>1173</v>
      </c>
      <c r="I60" s="101">
        <f t="shared" si="11"/>
        <v>0</v>
      </c>
      <c r="N60" s="779"/>
      <c r="O60" s="779"/>
      <c r="P60" s="773"/>
      <c r="Q60" s="773"/>
      <c r="R60" s="40" t="s">
        <v>13</v>
      </c>
      <c r="S60" s="608">
        <v>251</v>
      </c>
      <c r="T60" s="479">
        <f t="shared" si="12"/>
        <v>1173</v>
      </c>
      <c r="U60" s="493">
        <f t="shared" si="13"/>
        <v>0</v>
      </c>
      <c r="V60" s="443"/>
    </row>
    <row r="61" spans="1:22" x14ac:dyDescent="0.25">
      <c r="A61" s="721"/>
      <c r="B61" s="721"/>
      <c r="C61" s="143">
        <v>0</v>
      </c>
      <c r="D61" s="143">
        <v>0</v>
      </c>
      <c r="E61" s="116">
        <f t="shared" si="14"/>
        <v>0</v>
      </c>
      <c r="F61" s="588" t="s">
        <v>13</v>
      </c>
      <c r="G61" s="586">
        <v>252</v>
      </c>
      <c r="H61" s="476">
        <v>3506</v>
      </c>
      <c r="I61" s="101">
        <f t="shared" si="11"/>
        <v>0</v>
      </c>
      <c r="N61" s="779"/>
      <c r="O61" s="779"/>
      <c r="P61" s="773"/>
      <c r="Q61" s="773"/>
      <c r="R61" s="40" t="s">
        <v>13</v>
      </c>
      <c r="S61" s="608">
        <v>252</v>
      </c>
      <c r="T61" s="479">
        <f t="shared" si="12"/>
        <v>3506</v>
      </c>
      <c r="U61" s="493">
        <f t="shared" si="13"/>
        <v>0</v>
      </c>
      <c r="V61" s="443"/>
    </row>
    <row r="62" spans="1:22" x14ac:dyDescent="0.25">
      <c r="A62" s="721"/>
      <c r="B62" s="721"/>
      <c r="C62" s="143">
        <v>0</v>
      </c>
      <c r="D62" s="143">
        <v>0</v>
      </c>
      <c r="E62" s="116">
        <f t="shared" si="14"/>
        <v>0</v>
      </c>
      <c r="F62" s="588" t="s">
        <v>13</v>
      </c>
      <c r="G62" s="586">
        <v>253</v>
      </c>
      <c r="H62" s="476">
        <v>7023</v>
      </c>
      <c r="I62" s="101">
        <f t="shared" si="11"/>
        <v>0</v>
      </c>
      <c r="N62" s="779"/>
      <c r="O62" s="779"/>
      <c r="P62" s="773"/>
      <c r="Q62" s="773"/>
      <c r="R62" s="40" t="s">
        <v>13</v>
      </c>
      <c r="S62" s="608">
        <v>253</v>
      </c>
      <c r="T62" s="479">
        <f t="shared" si="12"/>
        <v>7023</v>
      </c>
      <c r="U62" s="493">
        <f t="shared" si="13"/>
        <v>0</v>
      </c>
      <c r="V62" s="443"/>
    </row>
    <row r="63" spans="1:22" x14ac:dyDescent="0.25">
      <c r="A63" s="721"/>
      <c r="B63" s="721"/>
      <c r="C63" s="143">
        <v>0</v>
      </c>
      <c r="D63" s="143">
        <v>0</v>
      </c>
      <c r="E63" s="116">
        <f t="shared" si="14"/>
        <v>0</v>
      </c>
      <c r="F63" s="588" t="s">
        <v>14</v>
      </c>
      <c r="G63" s="586">
        <v>251</v>
      </c>
      <c r="H63" s="476">
        <v>835</v>
      </c>
      <c r="I63" s="101">
        <f>ROUND(E63*H63,2)</f>
        <v>0</v>
      </c>
      <c r="N63" s="779"/>
      <c r="O63" s="779"/>
      <c r="P63" s="773"/>
      <c r="Q63" s="773"/>
      <c r="R63" s="40" t="s">
        <v>14</v>
      </c>
      <c r="S63" s="608">
        <v>251</v>
      </c>
      <c r="T63" s="479">
        <f t="shared" si="12"/>
        <v>835</v>
      </c>
      <c r="U63" s="493">
        <f t="shared" si="13"/>
        <v>0</v>
      </c>
      <c r="V63" s="443"/>
    </row>
    <row r="64" spans="1:22" x14ac:dyDescent="0.25">
      <c r="A64" s="721"/>
      <c r="B64" s="721"/>
      <c r="C64" s="143">
        <v>0.5</v>
      </c>
      <c r="D64" s="143">
        <v>0</v>
      </c>
      <c r="E64" s="116">
        <f t="shared" si="14"/>
        <v>1</v>
      </c>
      <c r="F64" s="588" t="s">
        <v>14</v>
      </c>
      <c r="G64" s="586">
        <v>252</v>
      </c>
      <c r="H64" s="476">
        <v>3168</v>
      </c>
      <c r="I64" s="101">
        <f t="shared" si="11"/>
        <v>3168</v>
      </c>
      <c r="N64" s="779"/>
      <c r="O64" s="779"/>
      <c r="P64" s="773"/>
      <c r="Q64" s="773"/>
      <c r="R64" s="40" t="s">
        <v>14</v>
      </c>
      <c r="S64" s="608">
        <v>252</v>
      </c>
      <c r="T64" s="479">
        <f t="shared" si="12"/>
        <v>3168</v>
      </c>
      <c r="U64" s="493">
        <f t="shared" si="13"/>
        <v>0</v>
      </c>
      <c r="V64" s="443"/>
    </row>
    <row r="65" spans="1:22" ht="16.5" thickBot="1" x14ac:dyDescent="0.3">
      <c r="A65" s="721"/>
      <c r="B65" s="721"/>
      <c r="C65" s="143">
        <v>0.5</v>
      </c>
      <c r="D65" s="143">
        <v>0</v>
      </c>
      <c r="E65" s="116">
        <f t="shared" si="14"/>
        <v>1</v>
      </c>
      <c r="F65" s="588" t="s">
        <v>14</v>
      </c>
      <c r="G65" s="586">
        <v>253</v>
      </c>
      <c r="H65" s="476">
        <v>6685</v>
      </c>
      <c r="I65" s="101">
        <f t="shared" si="11"/>
        <v>6685</v>
      </c>
      <c r="N65" s="779"/>
      <c r="O65" s="779"/>
      <c r="P65" s="774"/>
      <c r="Q65" s="774"/>
      <c r="R65" s="40" t="s">
        <v>14</v>
      </c>
      <c r="S65" s="608">
        <v>253</v>
      </c>
      <c r="T65" s="479">
        <f t="shared" si="12"/>
        <v>6685</v>
      </c>
      <c r="U65" s="494">
        <f t="shared" si="13"/>
        <v>0</v>
      </c>
      <c r="V65" s="443"/>
    </row>
    <row r="66" spans="1:22" ht="16.5" thickBot="1" x14ac:dyDescent="0.3">
      <c r="A66" s="241"/>
      <c r="C66" s="97">
        <f>SUM(C57:C65)</f>
        <v>1</v>
      </c>
      <c r="D66" s="97">
        <f>SUM(D57:D65)</f>
        <v>0</v>
      </c>
      <c r="E66" s="97">
        <f>SUM(E57:E65)</f>
        <v>2</v>
      </c>
      <c r="F66" s="708" t="s">
        <v>464</v>
      </c>
      <c r="G66" s="708"/>
      <c r="H66" s="708"/>
      <c r="I66" s="97">
        <f>SUM(I57:I65)</f>
        <v>9853</v>
      </c>
      <c r="N66" s="480"/>
      <c r="O66" s="51"/>
      <c r="P66" s="775">
        <f>SUM(P57:P65)</f>
        <v>0</v>
      </c>
      <c r="Q66" s="775"/>
      <c r="R66" s="776" t="s">
        <v>464</v>
      </c>
      <c r="S66" s="776"/>
      <c r="T66" s="776"/>
      <c r="U66" s="495">
        <f>SUM(U57:U65)</f>
        <v>0</v>
      </c>
      <c r="V66" s="443"/>
    </row>
    <row r="67" spans="1:22" x14ac:dyDescent="0.25">
      <c r="A67" s="241"/>
      <c r="C67" s="101"/>
      <c r="D67" s="101"/>
      <c r="E67" s="101"/>
      <c r="F67" s="596"/>
      <c r="G67" s="596"/>
      <c r="H67" s="596"/>
      <c r="I67" s="101"/>
      <c r="N67" s="599"/>
      <c r="O67" s="599"/>
      <c r="P67" s="599"/>
      <c r="Q67" s="599"/>
      <c r="R67" s="599"/>
      <c r="S67" s="599"/>
      <c r="T67" s="601"/>
      <c r="U67" s="601"/>
    </row>
    <row r="68" spans="1:22" x14ac:dyDescent="0.25">
      <c r="A68" s="594" t="s">
        <v>466</v>
      </c>
      <c r="N68" s="598" t="s">
        <v>474</v>
      </c>
      <c r="O68" s="51"/>
      <c r="P68" s="51"/>
      <c r="Q68" s="51"/>
      <c r="R68" s="51"/>
      <c r="S68" s="51"/>
      <c r="T68" s="51"/>
      <c r="U68" s="51"/>
    </row>
    <row r="69" spans="1:22" x14ac:dyDescent="0.25">
      <c r="A69" s="704" t="s">
        <v>419</v>
      </c>
      <c r="B69" s="705"/>
      <c r="C69" s="112">
        <f>E30</f>
        <v>11</v>
      </c>
      <c r="D69" s="718" t="s">
        <v>430</v>
      </c>
      <c r="E69" s="718"/>
      <c r="F69" s="718"/>
      <c r="G69" s="718"/>
      <c r="H69" s="287">
        <f>'1461'!H69</f>
        <v>210228.91</v>
      </c>
      <c r="I69" s="113"/>
      <c r="N69" s="746" t="s">
        <v>423</v>
      </c>
      <c r="O69" s="747"/>
      <c r="P69" s="41">
        <f>P30</f>
        <v>11</v>
      </c>
      <c r="Q69" s="771" t="s">
        <v>425</v>
      </c>
      <c r="R69" s="772"/>
      <c r="S69" s="772"/>
      <c r="T69" s="760">
        <f>H69</f>
        <v>210228.91</v>
      </c>
      <c r="U69" s="760"/>
    </row>
    <row r="70" spans="1:22" x14ac:dyDescent="0.25">
      <c r="B70" s="592"/>
      <c r="G70" s="42" t="s">
        <v>12</v>
      </c>
      <c r="H70" s="114">
        <f>ROUND(C69/H69,6)</f>
        <v>5.1999999999999997E-5</v>
      </c>
      <c r="I70" s="115"/>
      <c r="N70" s="747"/>
      <c r="O70" s="747"/>
      <c r="P70" s="747"/>
      <c r="Q70" s="747"/>
      <c r="R70" s="747"/>
      <c r="S70" s="747"/>
      <c r="T70" s="765">
        <f>ROUND(P69/T69,6)</f>
        <v>5.1999999999999997E-5</v>
      </c>
      <c r="U70" s="765"/>
    </row>
    <row r="71" spans="1:22" x14ac:dyDescent="0.25">
      <c r="A71" s="594" t="s">
        <v>467</v>
      </c>
      <c r="N71" s="598" t="s">
        <v>475</v>
      </c>
      <c r="O71" s="51"/>
      <c r="P71" s="51"/>
      <c r="Q71" s="51"/>
      <c r="R71" s="51"/>
      <c r="S71" s="51"/>
      <c r="T71" s="51"/>
      <c r="U71" s="51"/>
    </row>
    <row r="72" spans="1:22" x14ac:dyDescent="0.25">
      <c r="A72" s="704" t="s">
        <v>420</v>
      </c>
      <c r="B72" s="705"/>
      <c r="C72" s="112">
        <f>H30</f>
        <v>35.228999999999999</v>
      </c>
      <c r="D72" s="718" t="s">
        <v>431</v>
      </c>
      <c r="E72" s="718"/>
      <c r="F72" s="718"/>
      <c r="G72" s="718"/>
      <c r="H72" s="288">
        <f>'1461'!H72</f>
        <v>234891.44</v>
      </c>
      <c r="I72" s="116"/>
      <c r="N72" s="746" t="s">
        <v>424</v>
      </c>
      <c r="O72" s="747"/>
      <c r="P72" s="41">
        <f>T30</f>
        <v>11</v>
      </c>
      <c r="Q72" s="771" t="s">
        <v>426</v>
      </c>
      <c r="R72" s="772"/>
      <c r="S72" s="772"/>
      <c r="T72" s="760">
        <f>H72</f>
        <v>234891.44</v>
      </c>
      <c r="U72" s="760"/>
    </row>
    <row r="73" spans="1:22" x14ac:dyDescent="0.25">
      <c r="G73" s="42" t="s">
        <v>12</v>
      </c>
      <c r="H73" s="114">
        <f>ROUND(C72/H72,6)</f>
        <v>1.4999999999999999E-4</v>
      </c>
      <c r="I73" s="114"/>
      <c r="N73" s="747"/>
      <c r="O73" s="747"/>
      <c r="P73" s="747"/>
      <c r="Q73" s="747"/>
      <c r="R73" s="747"/>
      <c r="S73" s="747"/>
      <c r="T73" s="765">
        <f>ROUND(P72/T72,6)</f>
        <v>4.6999999999999997E-5</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11</v>
      </c>
      <c r="D75" s="717" t="s">
        <v>432</v>
      </c>
      <c r="E75" s="717"/>
      <c r="F75" s="717"/>
      <c r="G75" s="717"/>
      <c r="H75" s="287">
        <f>'1461'!H75</f>
        <v>187665.41</v>
      </c>
      <c r="I75" s="113"/>
      <c r="N75" s="746" t="s">
        <v>422</v>
      </c>
      <c r="O75" s="747"/>
      <c r="P75" s="41">
        <f>P30</f>
        <v>11</v>
      </c>
      <c r="Q75" s="767" t="s">
        <v>427</v>
      </c>
      <c r="R75" s="768"/>
      <c r="S75" s="768"/>
      <c r="T75" s="760">
        <f>H75</f>
        <v>187665.41</v>
      </c>
      <c r="U75" s="760"/>
    </row>
    <row r="76" spans="1:22" x14ac:dyDescent="0.25">
      <c r="B76" s="592"/>
      <c r="G76" s="42" t="s">
        <v>12</v>
      </c>
      <c r="H76" s="114">
        <f>ROUND(C75/H75,6)</f>
        <v>5.8999999999999998E-5</v>
      </c>
      <c r="I76" s="115"/>
      <c r="N76" s="747"/>
      <c r="O76" s="747"/>
      <c r="P76" s="747"/>
      <c r="Q76" s="747"/>
      <c r="R76" s="747"/>
      <c r="S76" s="747"/>
      <c r="T76" s="765">
        <f>ROUND(P75/T75,6)</f>
        <v>5.8999999999999998E-5</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11</v>
      </c>
      <c r="D78" s="713" t="s">
        <v>433</v>
      </c>
      <c r="E78" s="713"/>
      <c r="F78" s="713"/>
      <c r="G78" s="713"/>
      <c r="H78" s="287">
        <f>'1461'!H78</f>
        <v>209892.26</v>
      </c>
      <c r="I78" s="113"/>
      <c r="N78" s="746" t="s">
        <v>422</v>
      </c>
      <c r="O78" s="747"/>
      <c r="P78" s="41">
        <f>P30</f>
        <v>11</v>
      </c>
      <c r="Q78" s="769" t="s">
        <v>428</v>
      </c>
      <c r="R78" s="770"/>
      <c r="S78" s="770"/>
      <c r="T78" s="760">
        <f>H78</f>
        <v>209892.26</v>
      </c>
      <c r="U78" s="760"/>
    </row>
    <row r="79" spans="1:22" x14ac:dyDescent="0.25">
      <c r="B79" s="592"/>
      <c r="G79" s="42" t="s">
        <v>12</v>
      </c>
      <c r="H79" s="114">
        <f>ROUND(C78/H78,6)</f>
        <v>5.1999999999999997E-5</v>
      </c>
      <c r="I79" s="115"/>
      <c r="N79" s="747"/>
      <c r="O79" s="747"/>
      <c r="P79" s="747"/>
      <c r="Q79" s="747"/>
      <c r="R79" s="747"/>
      <c r="S79" s="747"/>
      <c r="T79" s="765">
        <f>ROUND(P78/T78,6)</f>
        <v>5.1999999999999997E-5</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11</v>
      </c>
      <c r="D81" s="717" t="s">
        <v>434</v>
      </c>
      <c r="E81" s="717"/>
      <c r="F81" s="717"/>
      <c r="G81" s="717"/>
      <c r="H81" s="287">
        <f>'1461'!H81</f>
        <v>187328.76</v>
      </c>
      <c r="I81" s="113"/>
      <c r="N81" s="746" t="s">
        <v>435</v>
      </c>
      <c r="O81" s="747"/>
      <c r="P81" s="41">
        <f>P30</f>
        <v>11</v>
      </c>
      <c r="Q81" s="767" t="s">
        <v>436</v>
      </c>
      <c r="R81" s="768"/>
      <c r="S81" s="768"/>
      <c r="T81" s="760">
        <f>H81</f>
        <v>187328.76</v>
      </c>
      <c r="U81" s="760"/>
    </row>
    <row r="82" spans="1:21" x14ac:dyDescent="0.25">
      <c r="B82" s="592"/>
      <c r="G82" s="42" t="s">
        <v>12</v>
      </c>
      <c r="H82" s="114">
        <f>ROUND(C81/H81,6)</f>
        <v>5.8999999999999998E-5</v>
      </c>
      <c r="I82" s="115"/>
      <c r="N82" s="747"/>
      <c r="O82" s="747"/>
      <c r="P82" s="747"/>
      <c r="Q82" s="747"/>
      <c r="R82" s="747"/>
      <c r="S82" s="747"/>
      <c r="T82" s="765">
        <f>ROUND(P81/T81,6)</f>
        <v>5.8999999999999998E-5</v>
      </c>
      <c r="U82" s="765"/>
    </row>
    <row r="83" spans="1:21" x14ac:dyDescent="0.25">
      <c r="A83" s="241"/>
      <c r="G83" s="42"/>
      <c r="H83" s="114"/>
      <c r="I83" s="114"/>
      <c r="N83" s="599"/>
      <c r="O83" s="599"/>
      <c r="P83" s="599"/>
      <c r="Q83" s="599"/>
      <c r="R83" s="599"/>
      <c r="S83" s="599"/>
      <c r="T83" s="601"/>
      <c r="U83" s="601"/>
    </row>
    <row r="84" spans="1:21" x14ac:dyDescent="0.25">
      <c r="A84" s="241"/>
      <c r="G84" s="42"/>
      <c r="H84" s="114"/>
      <c r="I84" s="114"/>
      <c r="N84" s="599"/>
      <c r="O84" s="599"/>
      <c r="P84" s="599"/>
      <c r="Q84" s="599"/>
      <c r="R84" s="599"/>
      <c r="S84" s="599"/>
      <c r="T84" s="601"/>
      <c r="U84" s="601"/>
    </row>
    <row r="85" spans="1:21" x14ac:dyDescent="0.25">
      <c r="A85" s="594" t="s">
        <v>471</v>
      </c>
      <c r="D85" s="592"/>
      <c r="E85" s="585" t="s">
        <v>316</v>
      </c>
      <c r="F85" s="289">
        <v>46163704</v>
      </c>
      <c r="G85" s="586" t="s">
        <v>6</v>
      </c>
      <c r="H85" s="441">
        <f>H79</f>
        <v>5.1999999999999997E-5</v>
      </c>
      <c r="I85" s="101">
        <f>ROUND(F85*H85,2)</f>
        <v>2400.5100000000002</v>
      </c>
      <c r="N85" s="598" t="s">
        <v>471</v>
      </c>
      <c r="O85" s="51"/>
      <c r="P85" s="51"/>
      <c r="Q85" s="44"/>
      <c r="R85" s="438">
        <f>F85</f>
        <v>46163704</v>
      </c>
      <c r="S85" s="608" t="s">
        <v>6</v>
      </c>
      <c r="T85" s="440">
        <f>T79</f>
        <v>5.1999999999999997E-5</v>
      </c>
      <c r="U85" s="492">
        <f>ROUND(R85*T85,2)</f>
        <v>2400.5100000000002</v>
      </c>
    </row>
    <row r="86" spans="1:21" x14ac:dyDescent="0.25">
      <c r="A86" s="418"/>
      <c r="D86" s="592"/>
      <c r="E86" s="585"/>
      <c r="F86" s="275"/>
      <c r="G86" s="586"/>
      <c r="H86" s="441"/>
      <c r="I86" s="101"/>
      <c r="N86" s="51"/>
      <c r="O86" s="51"/>
      <c r="P86" s="51"/>
      <c r="Q86" s="44"/>
      <c r="R86" s="439"/>
      <c r="S86" s="608"/>
      <c r="T86" s="440"/>
      <c r="U86" s="496"/>
    </row>
    <row r="87" spans="1:21" x14ac:dyDescent="0.25">
      <c r="A87" s="719" t="s">
        <v>71</v>
      </c>
      <c r="B87" s="705"/>
      <c r="C87" s="705"/>
      <c r="D87" s="592"/>
      <c r="E87" s="585"/>
      <c r="F87" s="275"/>
      <c r="G87" s="586"/>
      <c r="H87" s="441"/>
      <c r="I87" s="101"/>
      <c r="N87" s="746" t="s">
        <v>479</v>
      </c>
      <c r="O87" s="747"/>
      <c r="P87" s="747"/>
      <c r="Q87" s="51"/>
      <c r="R87" s="439"/>
      <c r="S87" s="51"/>
      <c r="T87" s="608"/>
      <c r="U87" s="497"/>
    </row>
    <row r="88" spans="1:21" x14ac:dyDescent="0.25">
      <c r="A88" s="719" t="s">
        <v>99</v>
      </c>
      <c r="B88" s="705"/>
      <c r="C88" s="705"/>
      <c r="D88" s="592"/>
      <c r="E88" s="585" t="s">
        <v>3</v>
      </c>
      <c r="F88" s="289">
        <v>0</v>
      </c>
      <c r="G88" s="586" t="s">
        <v>6</v>
      </c>
      <c r="H88" s="441">
        <f>H70</f>
        <v>5.1999999999999997E-5</v>
      </c>
      <c r="I88" s="101">
        <f>ROUND(F88*H88,2)</f>
        <v>0</v>
      </c>
      <c r="N88" s="766" t="s">
        <v>99</v>
      </c>
      <c r="O88" s="747"/>
      <c r="P88" s="747"/>
      <c r="Q88" s="44"/>
      <c r="R88" s="438">
        <f>F88</f>
        <v>0</v>
      </c>
      <c r="S88" s="608" t="s">
        <v>6</v>
      </c>
      <c r="T88" s="440">
        <f>T70</f>
        <v>5.1999999999999997E-5</v>
      </c>
      <c r="U88" s="492">
        <f>ROUND(R88*T88,2)</f>
        <v>0</v>
      </c>
    </row>
    <row r="89" spans="1:21" x14ac:dyDescent="0.25">
      <c r="A89" s="595"/>
      <c r="B89" s="592"/>
      <c r="C89" s="592"/>
      <c r="D89" s="592"/>
      <c r="E89" s="585"/>
      <c r="F89" s="275"/>
      <c r="G89" s="586"/>
      <c r="H89" s="441"/>
      <c r="I89" s="101"/>
      <c r="N89" s="610"/>
      <c r="O89" s="599"/>
      <c r="P89" s="599"/>
      <c r="Q89" s="44"/>
      <c r="R89" s="438"/>
      <c r="S89" s="608"/>
      <c r="T89" s="440"/>
      <c r="U89" s="492"/>
    </row>
    <row r="90" spans="1:21" x14ac:dyDescent="0.25">
      <c r="A90" s="594" t="s">
        <v>472</v>
      </c>
      <c r="D90" s="592"/>
      <c r="E90" s="585" t="s">
        <v>437</v>
      </c>
      <c r="F90" s="289">
        <v>19042026</v>
      </c>
      <c r="G90" s="586" t="s">
        <v>6</v>
      </c>
      <c r="H90" s="441">
        <f>H82</f>
        <v>5.8999999999999998E-5</v>
      </c>
      <c r="I90" s="101">
        <f>ROUND(F90*H90,2)</f>
        <v>1123.48</v>
      </c>
      <c r="N90" s="598" t="s">
        <v>472</v>
      </c>
      <c r="O90" s="51"/>
      <c r="P90" s="51"/>
      <c r="Q90" s="44"/>
      <c r="R90" s="438">
        <f>F90</f>
        <v>19042026</v>
      </c>
      <c r="S90" s="608" t="s">
        <v>6</v>
      </c>
      <c r="T90" s="440">
        <f>T82</f>
        <v>5.8999999999999998E-5</v>
      </c>
      <c r="U90" s="492">
        <f>ROUND(R90*T90,2)</f>
        <v>1123.48</v>
      </c>
    </row>
    <row r="91" spans="1:21" x14ac:dyDescent="0.25">
      <c r="A91" s="418"/>
      <c r="D91" s="592"/>
      <c r="E91" s="585"/>
      <c r="F91" s="275"/>
      <c r="G91" s="586"/>
      <c r="H91" s="441"/>
      <c r="I91" s="101"/>
      <c r="N91" s="426"/>
      <c r="O91" s="51"/>
      <c r="P91" s="51"/>
      <c r="Q91" s="44"/>
      <c r="R91" s="438"/>
      <c r="S91" s="608"/>
      <c r="T91" s="440"/>
      <c r="U91" s="492"/>
    </row>
    <row r="92" spans="1:21" x14ac:dyDescent="0.25">
      <c r="A92" s="594" t="s">
        <v>473</v>
      </c>
      <c r="D92" s="592"/>
      <c r="E92" s="585" t="s">
        <v>3</v>
      </c>
      <c r="F92" s="289">
        <v>11441151</v>
      </c>
      <c r="G92" s="586" t="s">
        <v>6</v>
      </c>
      <c r="H92" s="441">
        <f>H76</f>
        <v>5.8999999999999998E-5</v>
      </c>
      <c r="I92" s="101">
        <f t="shared" ref="I92:I98" si="15">ROUND(F92*H92,2)</f>
        <v>675.03</v>
      </c>
      <c r="N92" s="598" t="s">
        <v>473</v>
      </c>
      <c r="O92" s="51"/>
      <c r="P92" s="51"/>
      <c r="Q92" s="44"/>
      <c r="R92" s="438">
        <f t="shared" ref="R92:R96" si="16">F92</f>
        <v>11441151</v>
      </c>
      <c r="S92" s="608" t="s">
        <v>6</v>
      </c>
      <c r="T92" s="440">
        <f>T76</f>
        <v>5.8999999999999998E-5</v>
      </c>
      <c r="U92" s="492">
        <f>ROUND(R92*T92,2)</f>
        <v>675.03</v>
      </c>
    </row>
    <row r="93" spans="1:21" x14ac:dyDescent="0.25">
      <c r="A93" s="594"/>
      <c r="D93" s="592"/>
      <c r="E93" s="585"/>
      <c r="F93" s="275"/>
      <c r="G93" s="586"/>
      <c r="H93" s="441"/>
      <c r="I93" s="101"/>
      <c r="N93" s="598"/>
      <c r="O93" s="51"/>
      <c r="P93" s="51"/>
      <c r="Q93" s="44"/>
      <c r="R93" s="439"/>
      <c r="S93" s="608"/>
      <c r="T93" s="440"/>
      <c r="U93" s="496"/>
    </row>
    <row r="94" spans="1:21" x14ac:dyDescent="0.25">
      <c r="A94" s="704" t="s">
        <v>438</v>
      </c>
      <c r="B94" s="705"/>
      <c r="C94" s="705"/>
      <c r="D94" s="592"/>
      <c r="E94" s="585" t="s">
        <v>4</v>
      </c>
      <c r="F94" s="289">
        <v>255756816</v>
      </c>
      <c r="G94" s="586" t="s">
        <v>6</v>
      </c>
      <c r="H94" s="441">
        <f>H73</f>
        <v>1.4999999999999999E-4</v>
      </c>
      <c r="I94" s="101">
        <f t="shared" si="15"/>
        <v>38363.519999999997</v>
      </c>
      <c r="N94" s="747" t="s">
        <v>438</v>
      </c>
      <c r="O94" s="747"/>
      <c r="P94" s="747"/>
      <c r="Q94" s="44"/>
      <c r="R94" s="438">
        <f t="shared" si="16"/>
        <v>255756816</v>
      </c>
      <c r="S94" s="608" t="s">
        <v>6</v>
      </c>
      <c r="T94" s="440">
        <f>T73</f>
        <v>4.6999999999999997E-5</v>
      </c>
      <c r="U94" s="492">
        <f>ROUND(R94*T94,2)</f>
        <v>12020.57</v>
      </c>
    </row>
    <row r="95" spans="1:21" x14ac:dyDescent="0.25">
      <c r="A95" s="594"/>
      <c r="B95" s="592"/>
      <c r="C95" s="592"/>
      <c r="D95" s="592"/>
      <c r="E95" s="585"/>
      <c r="F95" s="275"/>
      <c r="G95" s="586"/>
      <c r="H95" s="441"/>
      <c r="I95" s="101"/>
      <c r="N95" s="599"/>
      <c r="O95" s="599"/>
      <c r="P95" s="599"/>
      <c r="Q95" s="44"/>
      <c r="R95" s="438"/>
      <c r="S95" s="608"/>
      <c r="T95" s="440"/>
      <c r="U95" s="492"/>
    </row>
    <row r="96" spans="1:21" x14ac:dyDescent="0.25">
      <c r="A96" s="704" t="s">
        <v>439</v>
      </c>
      <c r="B96" s="705"/>
      <c r="C96" s="705"/>
      <c r="D96" s="592"/>
      <c r="E96" s="585" t="s">
        <v>4</v>
      </c>
      <c r="F96" s="289">
        <v>-1585559</v>
      </c>
      <c r="G96" s="586" t="s">
        <v>6</v>
      </c>
      <c r="H96" s="441">
        <f>H73</f>
        <v>1.4999999999999999E-4</v>
      </c>
      <c r="I96" s="101">
        <f t="shared" si="15"/>
        <v>-237.83</v>
      </c>
      <c r="N96" s="746" t="s">
        <v>439</v>
      </c>
      <c r="O96" s="746"/>
      <c r="P96" s="746"/>
      <c r="Q96" s="44"/>
      <c r="R96" s="438">
        <f t="shared" si="16"/>
        <v>-1585559</v>
      </c>
      <c r="S96" s="608" t="s">
        <v>6</v>
      </c>
      <c r="T96" s="440">
        <f>T73</f>
        <v>4.6999999999999997E-5</v>
      </c>
      <c r="U96" s="492">
        <f>ROUND(R96*T96,2)</f>
        <v>-74.52</v>
      </c>
    </row>
    <row r="97" spans="1:21" x14ac:dyDescent="0.25">
      <c r="A97" s="594"/>
      <c r="B97" s="592"/>
      <c r="C97" s="592"/>
      <c r="D97" s="592"/>
      <c r="E97" s="585"/>
      <c r="F97" s="275"/>
      <c r="G97" s="586"/>
      <c r="H97" s="441"/>
      <c r="I97" s="101"/>
      <c r="N97" s="598"/>
      <c r="O97" s="598"/>
      <c r="P97" s="598"/>
      <c r="Q97" s="44"/>
      <c r="R97" s="553"/>
      <c r="S97" s="608"/>
      <c r="T97" s="440"/>
      <c r="U97" s="496"/>
    </row>
    <row r="98" spans="1:21" x14ac:dyDescent="0.25">
      <c r="A98" s="594" t="s">
        <v>513</v>
      </c>
      <c r="B98" s="592"/>
      <c r="C98" s="592"/>
      <c r="D98" s="592"/>
      <c r="E98" s="585" t="s">
        <v>3</v>
      </c>
      <c r="F98" s="289">
        <v>0</v>
      </c>
      <c r="G98" s="586" t="s">
        <v>6</v>
      </c>
      <c r="H98" s="441">
        <f>H70</f>
        <v>5.1999999999999997E-5</v>
      </c>
      <c r="I98" s="101">
        <f t="shared" si="15"/>
        <v>0</v>
      </c>
      <c r="N98" s="598" t="s">
        <v>513</v>
      </c>
      <c r="O98" s="598"/>
      <c r="P98" s="598"/>
      <c r="Q98" s="44"/>
      <c r="R98" s="554">
        <f>F98</f>
        <v>0</v>
      </c>
      <c r="S98" s="608" t="s">
        <v>6</v>
      </c>
      <c r="T98" s="440">
        <f>T70</f>
        <v>5.1999999999999997E-5</v>
      </c>
      <c r="U98" s="492">
        <f>ROUND(R98*T98,2)</f>
        <v>0</v>
      </c>
    </row>
    <row r="99" spans="1:21" x14ac:dyDescent="0.25">
      <c r="A99" s="594"/>
      <c r="B99" s="592"/>
      <c r="C99" s="592"/>
      <c r="D99" s="592"/>
      <c r="E99" s="585"/>
      <c r="F99" s="275"/>
      <c r="G99" s="586"/>
      <c r="H99" s="441"/>
      <c r="I99" s="101"/>
      <c r="N99" s="598"/>
      <c r="O99" s="598"/>
      <c r="P99" s="598"/>
      <c r="Q99" s="44"/>
      <c r="R99" s="553"/>
      <c r="S99" s="608"/>
      <c r="T99" s="440"/>
      <c r="U99" s="496"/>
    </row>
    <row r="100" spans="1:21" x14ac:dyDescent="0.25">
      <c r="A100" s="594"/>
      <c r="B100" s="592"/>
      <c r="C100" s="592"/>
      <c r="D100" s="592"/>
      <c r="E100" s="585"/>
      <c r="F100" s="275"/>
      <c r="G100" s="586"/>
      <c r="H100" s="441"/>
      <c r="I100" s="101"/>
      <c r="N100" s="598"/>
      <c r="O100" s="598"/>
      <c r="P100" s="598"/>
      <c r="Q100" s="44"/>
      <c r="R100" s="439"/>
      <c r="S100" s="608"/>
      <c r="T100" s="440"/>
      <c r="U100" s="103"/>
    </row>
    <row r="101" spans="1:21" ht="15" customHeight="1" x14ac:dyDescent="0.25">
      <c r="A101" s="418" t="s">
        <v>514</v>
      </c>
      <c r="N101" s="426" t="s">
        <v>514</v>
      </c>
      <c r="O101" s="51"/>
      <c r="P101" s="51"/>
      <c r="Q101" s="51"/>
      <c r="R101" s="51"/>
      <c r="S101" s="51"/>
      <c r="T101" s="51"/>
      <c r="U101" s="51"/>
    </row>
    <row r="102" spans="1:21" x14ac:dyDescent="0.25">
      <c r="B102" s="592"/>
      <c r="C102" s="714" t="s">
        <v>60</v>
      </c>
      <c r="D102" s="714"/>
      <c r="E102" s="592"/>
      <c r="F102" s="588" t="s">
        <v>28</v>
      </c>
      <c r="G102" s="592"/>
      <c r="H102" s="592"/>
      <c r="I102" s="592"/>
      <c r="N102" s="599"/>
      <c r="O102" s="599"/>
      <c r="P102" s="599"/>
      <c r="Q102" s="599"/>
      <c r="R102" s="599"/>
      <c r="S102" s="599"/>
      <c r="T102" s="599"/>
      <c r="U102" s="599"/>
    </row>
    <row r="103" spans="1:21" x14ac:dyDescent="0.25">
      <c r="A103" s="3"/>
      <c r="B103" s="118"/>
      <c r="C103" s="715" t="s">
        <v>101</v>
      </c>
      <c r="D103" s="715"/>
      <c r="E103" s="119" t="s">
        <v>441</v>
      </c>
      <c r="F103" s="120" t="s">
        <v>106</v>
      </c>
      <c r="G103" s="589"/>
      <c r="H103" s="589"/>
      <c r="I103" s="589"/>
      <c r="N103" s="762" t="s">
        <v>35</v>
      </c>
      <c r="O103" s="762"/>
      <c r="P103" s="763" t="s">
        <v>443</v>
      </c>
      <c r="Q103" s="764"/>
      <c r="R103" s="760" t="s">
        <v>31</v>
      </c>
      <c r="S103" s="760"/>
      <c r="T103" s="760"/>
      <c r="U103" s="760"/>
    </row>
    <row r="104" spans="1:21" x14ac:dyDescent="0.25">
      <c r="A104" s="596"/>
      <c r="B104" s="52" t="s">
        <v>105</v>
      </c>
      <c r="C104" s="703">
        <f>H14+H15+H20+H23+H26</f>
        <v>25.879000000000001</v>
      </c>
      <c r="D104" s="703"/>
      <c r="E104" s="46">
        <f>H8</f>
        <v>1.0407999999999999</v>
      </c>
      <c r="F104" s="290">
        <v>950.92</v>
      </c>
      <c r="G104" s="588" t="s">
        <v>12</v>
      </c>
      <c r="H104" s="101">
        <f>ROUND(C104*E104*F104,2)</f>
        <v>25612.9</v>
      </c>
      <c r="I104" s="104"/>
      <c r="N104" s="600" t="s">
        <v>17</v>
      </c>
      <c r="O104" s="47">
        <f>T14+T15+T20+T23+T26</f>
        <v>7</v>
      </c>
      <c r="P104" s="761">
        <f>T8</f>
        <v>1.0407999999999999</v>
      </c>
      <c r="Q104" s="761"/>
      <c r="R104" s="48">
        <f>F104</f>
        <v>950.92</v>
      </c>
      <c r="S104" s="40" t="s">
        <v>12</v>
      </c>
      <c r="T104" s="498">
        <f>ROUND(O104*P104*R104,2)</f>
        <v>6928.02</v>
      </c>
      <c r="U104" s="102"/>
    </row>
    <row r="105" spans="1:21" x14ac:dyDescent="0.25">
      <c r="A105" s="49"/>
      <c r="B105" s="49" t="s">
        <v>104</v>
      </c>
      <c r="C105" s="703">
        <f>H16+H17+H21+H24+H27</f>
        <v>7.3940000000000001</v>
      </c>
      <c r="D105" s="703"/>
      <c r="E105" s="46">
        <f>H8</f>
        <v>1.0407999999999999</v>
      </c>
      <c r="F105" s="290">
        <v>907.92</v>
      </c>
      <c r="G105" s="588" t="s">
        <v>12</v>
      </c>
      <c r="H105" s="101">
        <f>ROUND(C105*E105*F105,2)</f>
        <v>6987.06</v>
      </c>
      <c r="N105" s="50" t="s">
        <v>13</v>
      </c>
      <c r="O105" s="47">
        <f>T16+T17+T21+T24+T27</f>
        <v>2</v>
      </c>
      <c r="P105" s="761">
        <f>T8</f>
        <v>1.0407999999999999</v>
      </c>
      <c r="Q105" s="761"/>
      <c r="R105" s="48">
        <f>F105</f>
        <v>907.92</v>
      </c>
      <c r="S105" s="40" t="s">
        <v>12</v>
      </c>
      <c r="T105" s="498">
        <f>ROUND(O105*P105*R105,2)</f>
        <v>1889.93</v>
      </c>
      <c r="U105" s="51"/>
    </row>
    <row r="106" spans="1:21" ht="16.5" thickBot="1" x14ac:dyDescent="0.3">
      <c r="A106" s="52"/>
      <c r="B106" s="52" t="s">
        <v>103</v>
      </c>
      <c r="C106" s="703">
        <f>H18+H19+H22+H25+H28+H29</f>
        <v>1.956</v>
      </c>
      <c r="D106" s="703"/>
      <c r="E106" s="46">
        <f>H8</f>
        <v>1.0407999999999999</v>
      </c>
      <c r="F106" s="290">
        <v>910.12</v>
      </c>
      <c r="G106" s="588" t="s">
        <v>12</v>
      </c>
      <c r="H106" s="94">
        <f>ROUND(C106*E106*F106,2)</f>
        <v>1852.83</v>
      </c>
      <c r="N106" s="53" t="s">
        <v>14</v>
      </c>
      <c r="O106" s="54">
        <f>T18+T19+T22+T25+T28+T29</f>
        <v>2</v>
      </c>
      <c r="P106" s="761">
        <f>T8</f>
        <v>1.0407999999999999</v>
      </c>
      <c r="Q106" s="761"/>
      <c r="R106" s="48">
        <f>F106</f>
        <v>910.12</v>
      </c>
      <c r="S106" s="40" t="s">
        <v>12</v>
      </c>
      <c r="T106" s="498">
        <f>ROUND(O106*P106*R106,2)</f>
        <v>1894.51</v>
      </c>
      <c r="U106" s="51"/>
    </row>
    <row r="107" spans="1:21" ht="16.5" thickBot="1" x14ac:dyDescent="0.3">
      <c r="A107" s="55"/>
      <c r="B107" s="122" t="s">
        <v>102</v>
      </c>
      <c r="C107" s="716">
        <f>SUM(C104:C106)</f>
        <v>35.229000000000006</v>
      </c>
      <c r="D107" s="716"/>
      <c r="E107" s="123"/>
      <c r="F107" s="123"/>
      <c r="G107" s="123"/>
      <c r="H107" s="124" t="s">
        <v>100</v>
      </c>
      <c r="I107" s="101">
        <f>IF(A1=75,0,H106+H105+H104)</f>
        <v>34452.79</v>
      </c>
      <c r="N107" s="603" t="s">
        <v>89</v>
      </c>
      <c r="O107" s="57">
        <f>SUM(O104:O106)</f>
        <v>11</v>
      </c>
      <c r="P107" s="756" t="s">
        <v>16</v>
      </c>
      <c r="Q107" s="757"/>
      <c r="R107" s="757"/>
      <c r="S107" s="757"/>
      <c r="T107" s="757"/>
      <c r="U107" s="492">
        <f>IF(N1=75,0,T106+T105+T104)</f>
        <v>10712.460000000001</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584"/>
      <c r="B109" s="584"/>
      <c r="C109" s="584"/>
      <c r="D109" s="584"/>
      <c r="E109" s="584"/>
      <c r="F109" s="584"/>
      <c r="G109" s="584"/>
      <c r="H109" s="584"/>
      <c r="I109" s="584"/>
      <c r="N109" s="604"/>
      <c r="O109" s="604"/>
      <c r="P109" s="604"/>
      <c r="Q109" s="604"/>
      <c r="R109" s="604"/>
      <c r="S109" s="604"/>
      <c r="T109" s="604"/>
      <c r="U109" s="604"/>
    </row>
    <row r="110" spans="1:21" x14ac:dyDescent="0.25">
      <c r="A110" s="594" t="s">
        <v>515</v>
      </c>
      <c r="C110" s="585"/>
      <c r="D110" s="592"/>
      <c r="E110" s="585" t="s">
        <v>32</v>
      </c>
      <c r="F110" s="742"/>
      <c r="G110" s="742"/>
      <c r="H110" s="742"/>
      <c r="I110" s="742"/>
      <c r="N110" s="746" t="s">
        <v>515</v>
      </c>
      <c r="O110" s="747"/>
      <c r="P110" s="747"/>
      <c r="Q110" s="759"/>
      <c r="R110" s="759"/>
      <c r="S110" s="759"/>
      <c r="T110" s="759"/>
      <c r="U110" s="103"/>
    </row>
    <row r="111" spans="1:21" x14ac:dyDescent="0.25">
      <c r="B111" s="592"/>
      <c r="C111" s="88" t="s">
        <v>510</v>
      </c>
      <c r="D111" s="349" t="s">
        <v>511</v>
      </c>
      <c r="E111" s="89" t="s">
        <v>107</v>
      </c>
      <c r="F111" s="585"/>
      <c r="G111" s="585"/>
      <c r="H111" s="585"/>
      <c r="I111" s="585"/>
      <c r="N111" s="599"/>
      <c r="O111" s="599"/>
      <c r="P111" s="599"/>
      <c r="Q111" s="605"/>
      <c r="R111" s="605"/>
      <c r="S111" s="605"/>
      <c r="T111" s="605"/>
      <c r="U111" s="103"/>
    </row>
    <row r="112" spans="1:21" x14ac:dyDescent="0.25">
      <c r="B112" s="592"/>
      <c r="C112" s="340" t="s">
        <v>2</v>
      </c>
      <c r="D112" s="340" t="s">
        <v>2</v>
      </c>
      <c r="E112" s="90" t="s">
        <v>2</v>
      </c>
      <c r="F112" s="585"/>
      <c r="G112" s="585"/>
      <c r="H112" s="585"/>
      <c r="I112" s="585"/>
      <c r="N112" s="599"/>
      <c r="O112" s="599"/>
      <c r="P112" s="599"/>
      <c r="Q112" s="605"/>
      <c r="R112" s="605"/>
      <c r="S112" s="605"/>
      <c r="T112" s="605"/>
      <c r="U112" s="103"/>
    </row>
    <row r="113" spans="1:21" x14ac:dyDescent="0.25">
      <c r="A113" s="717" t="s">
        <v>399</v>
      </c>
      <c r="B113" s="738"/>
      <c r="C113" s="143">
        <v>0</v>
      </c>
      <c r="D113" s="143">
        <v>0</v>
      </c>
      <c r="E113" s="116">
        <f>(C113+D113)/2</f>
        <v>0</v>
      </c>
      <c r="F113" s="126" t="s">
        <v>30</v>
      </c>
      <c r="G113" s="291">
        <v>567</v>
      </c>
      <c r="I113" s="101">
        <f>ROUND(G113*E113,2)</f>
        <v>0</v>
      </c>
      <c r="N113" s="755" t="s">
        <v>52</v>
      </c>
      <c r="O113" s="755"/>
      <c r="P113" s="754">
        <f>IF(H133=1,E113,0)</f>
        <v>0</v>
      </c>
      <c r="Q113" s="754"/>
      <c r="R113" s="754"/>
      <c r="S113" s="613" t="s">
        <v>30</v>
      </c>
      <c r="T113" s="58">
        <f>G113</f>
        <v>567</v>
      </c>
      <c r="U113" s="492">
        <f>ROUND(T113*P113,2)</f>
        <v>0</v>
      </c>
    </row>
    <row r="114" spans="1:21" x14ac:dyDescent="0.25">
      <c r="A114" s="717" t="s">
        <v>400</v>
      </c>
      <c r="B114" s="738"/>
      <c r="C114" s="143">
        <v>0</v>
      </c>
      <c r="D114" s="143">
        <v>0</v>
      </c>
      <c r="E114" s="116">
        <f>(C114+D114)/2</f>
        <v>0</v>
      </c>
      <c r="F114" s="126" t="s">
        <v>30</v>
      </c>
      <c r="G114" s="291">
        <v>1821</v>
      </c>
      <c r="I114" s="101">
        <f>ROUND(G114*E114,2)</f>
        <v>0</v>
      </c>
      <c r="N114" s="755" t="s">
        <v>64</v>
      </c>
      <c r="O114" s="755"/>
      <c r="P114" s="749"/>
      <c r="Q114" s="749"/>
      <c r="R114" s="749"/>
      <c r="S114" s="613" t="s">
        <v>30</v>
      </c>
      <c r="T114" s="58">
        <f>G114</f>
        <v>1821</v>
      </c>
      <c r="U114" s="492">
        <f>ROUND(T114*P114,2)</f>
        <v>0</v>
      </c>
    </row>
    <row r="115" spans="1:21" x14ac:dyDescent="0.25">
      <c r="A115" s="127"/>
      <c r="B115" s="127"/>
      <c r="C115" s="65"/>
      <c r="D115" s="65"/>
      <c r="E115" s="65"/>
      <c r="F115" s="65"/>
      <c r="G115" s="615"/>
      <c r="H115" s="129"/>
      <c r="I115" s="101"/>
      <c r="N115" s="609"/>
      <c r="O115" s="609"/>
      <c r="P115" s="131"/>
      <c r="Q115" s="131"/>
      <c r="R115" s="131"/>
      <c r="S115" s="613"/>
      <c r="T115" s="58"/>
      <c r="U115" s="103"/>
    </row>
    <row r="116" spans="1:21" x14ac:dyDescent="0.25">
      <c r="A116" s="127"/>
      <c r="B116" s="127"/>
      <c r="C116" s="65"/>
      <c r="D116" s="65"/>
      <c r="E116" s="65"/>
      <c r="F116" s="65"/>
      <c r="G116" s="615"/>
      <c r="H116" s="129"/>
      <c r="I116" s="101"/>
      <c r="N116" s="609"/>
      <c r="O116" s="609"/>
      <c r="P116" s="131"/>
      <c r="Q116" s="131"/>
      <c r="R116" s="131"/>
      <c r="S116" s="613"/>
      <c r="T116" s="58"/>
      <c r="U116" s="103"/>
    </row>
    <row r="117" spans="1:21" hidden="1" x14ac:dyDescent="0.25">
      <c r="A117" s="704" t="s">
        <v>516</v>
      </c>
      <c r="B117" s="705"/>
      <c r="C117" s="705"/>
      <c r="D117" s="592"/>
      <c r="E117" s="588" t="s">
        <v>317</v>
      </c>
      <c r="F117" s="714"/>
      <c r="G117" s="714"/>
      <c r="H117" s="714"/>
      <c r="I117" s="714"/>
      <c r="N117" s="746" t="s">
        <v>517</v>
      </c>
      <c r="O117" s="747"/>
      <c r="P117" s="747"/>
      <c r="Q117" s="747"/>
      <c r="R117" s="747"/>
      <c r="S117" s="747"/>
      <c r="T117" s="747"/>
      <c r="U117" s="747"/>
    </row>
    <row r="118" spans="1:21" hidden="1" x14ac:dyDescent="0.25">
      <c r="B118" s="592"/>
      <c r="C118" s="715" t="s">
        <v>66</v>
      </c>
      <c r="D118" s="715"/>
      <c r="E118" s="715"/>
      <c r="F118" s="586"/>
      <c r="G118" s="586"/>
      <c r="H118" s="588" t="s">
        <v>108</v>
      </c>
      <c r="I118" s="586"/>
      <c r="N118" s="599"/>
      <c r="O118" s="599"/>
      <c r="P118" s="599"/>
      <c r="Q118" s="599"/>
      <c r="R118" s="599"/>
      <c r="S118" s="599"/>
      <c r="T118" s="599"/>
      <c r="U118" s="599"/>
    </row>
    <row r="119" spans="1:21" hidden="1" x14ac:dyDescent="0.25">
      <c r="B119" s="592"/>
      <c r="C119" s="88" t="s">
        <v>329</v>
      </c>
      <c r="D119" s="88" t="s">
        <v>314</v>
      </c>
      <c r="E119" s="137" t="s">
        <v>8</v>
      </c>
      <c r="F119" s="718" t="s">
        <v>109</v>
      </c>
      <c r="G119" s="714"/>
      <c r="H119" s="586" t="s">
        <v>29</v>
      </c>
      <c r="I119" s="586"/>
      <c r="N119" s="599"/>
      <c r="O119" s="599"/>
      <c r="P119" s="599"/>
      <c r="Q119" s="599"/>
      <c r="R119" s="599"/>
      <c r="S119" s="599"/>
      <c r="T119" s="599"/>
      <c r="U119" s="599"/>
    </row>
    <row r="120" spans="1:21" hidden="1" x14ac:dyDescent="0.25">
      <c r="A120" s="715" t="s">
        <v>69</v>
      </c>
      <c r="B120" s="715"/>
      <c r="C120" s="90" t="s">
        <v>2</v>
      </c>
      <c r="D120" s="90" t="s">
        <v>2</v>
      </c>
      <c r="E120" s="587" t="s">
        <v>2</v>
      </c>
      <c r="F120" s="715" t="s">
        <v>28</v>
      </c>
      <c r="G120" s="715"/>
      <c r="H120" s="587" t="s">
        <v>28</v>
      </c>
      <c r="I120" s="587" t="s">
        <v>8</v>
      </c>
      <c r="N120" s="750" t="s">
        <v>53</v>
      </c>
      <c r="O120" s="750"/>
      <c r="P120" s="754" t="s">
        <v>66</v>
      </c>
      <c r="Q120" s="754"/>
      <c r="R120" s="750" t="s">
        <v>54</v>
      </c>
      <c r="S120" s="750"/>
      <c r="T120" s="602" t="s">
        <v>55</v>
      </c>
      <c r="U120" s="602"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idden="1" x14ac:dyDescent="0.25">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x14ac:dyDescent="0.25">
      <c r="A125" s="586"/>
      <c r="B125" s="586"/>
      <c r="C125" s="65"/>
      <c r="D125" s="65"/>
      <c r="E125" s="65"/>
      <c r="F125" s="65"/>
      <c r="G125" s="65"/>
      <c r="H125" s="65"/>
      <c r="I125" s="101"/>
      <c r="N125" s="608"/>
      <c r="O125" s="608"/>
      <c r="P125" s="66"/>
      <c r="Q125" s="66"/>
      <c r="R125" s="66"/>
      <c r="S125" s="66"/>
      <c r="T125" s="66"/>
      <c r="U125" s="138"/>
    </row>
    <row r="126" spans="1:21" x14ac:dyDescent="0.25">
      <c r="A126" s="704" t="s">
        <v>448</v>
      </c>
      <c r="B126" s="705"/>
      <c r="C126" s="705"/>
      <c r="D126" s="592"/>
      <c r="E126" s="597" t="s">
        <v>34</v>
      </c>
      <c r="F126" s="707"/>
      <c r="G126" s="707"/>
      <c r="H126" s="707"/>
      <c r="I126" s="154">
        <v>0</v>
      </c>
      <c r="N126" s="746" t="s">
        <v>448</v>
      </c>
      <c r="O126" s="747"/>
      <c r="P126" s="747"/>
      <c r="Q126" s="305"/>
      <c r="R126" s="305"/>
      <c r="S126" s="305"/>
      <c r="T126" s="305"/>
      <c r="U126" s="492">
        <f>IF($H$133=1,I126,0)</f>
        <v>0</v>
      </c>
    </row>
    <row r="127" spans="1:21" x14ac:dyDescent="0.25">
      <c r="B127" s="592"/>
      <c r="C127" s="592"/>
      <c r="D127" s="592"/>
      <c r="E127" s="597"/>
      <c r="F127" s="597"/>
      <c r="G127" s="597"/>
      <c r="H127" s="597"/>
      <c r="I127" s="116"/>
      <c r="N127" s="598"/>
      <c r="O127" s="599"/>
      <c r="P127" s="599"/>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282098.03999999998</v>
      </c>
      <c r="J128" s="250"/>
      <c r="N128" s="598"/>
      <c r="O128" s="599"/>
      <c r="P128" s="599"/>
      <c r="Q128" s="305"/>
      <c r="R128" s="305"/>
      <c r="S128" s="305"/>
      <c r="T128" s="305"/>
      <c r="U128" s="499">
        <f>SUM(U30,U85,U88,U90,U92,U94,U96,U107,U113,U114,U124,U126)</f>
        <v>87890.860000000015</v>
      </c>
    </row>
    <row r="129" spans="1:21" ht="16.5" thickTop="1" x14ac:dyDescent="0.25">
      <c r="A129" s="596"/>
      <c r="B129" s="596"/>
      <c r="C129" s="596"/>
      <c r="D129" s="596"/>
      <c r="E129" s="596"/>
      <c r="F129" s="596"/>
      <c r="G129" s="596"/>
      <c r="H129" s="596"/>
      <c r="I129" s="101"/>
      <c r="J129" s="250"/>
      <c r="N129" s="598"/>
      <c r="O129" s="599"/>
      <c r="P129" s="599"/>
      <c r="Q129" s="305"/>
      <c r="R129" s="305"/>
      <c r="S129" s="305"/>
      <c r="T129" s="305"/>
      <c r="U129" s="103"/>
    </row>
    <row r="130" spans="1:21" ht="16.5" thickBot="1" x14ac:dyDescent="0.3">
      <c r="A130" s="594" t="s">
        <v>450</v>
      </c>
      <c r="B130" s="596"/>
      <c r="C130" s="596"/>
      <c r="D130" s="596"/>
      <c r="E130" s="596"/>
      <c r="F130" s="596"/>
      <c r="G130" s="596"/>
      <c r="H130" s="596"/>
      <c r="I130" s="101">
        <f>I128-I53</f>
        <v>271171.39999999997</v>
      </c>
      <c r="J130" s="250"/>
      <c r="N130" s="747" t="s">
        <v>450</v>
      </c>
      <c r="O130" s="747"/>
      <c r="P130" s="747"/>
      <c r="Q130" s="747"/>
      <c r="R130" s="747"/>
      <c r="S130" s="747"/>
      <c r="T130" s="747"/>
      <c r="U130" s="132">
        <f>U128-U53</f>
        <v>83826.040000000008</v>
      </c>
    </row>
    <row r="131" spans="1:21" ht="16.5" thickTop="1" x14ac:dyDescent="0.25">
      <c r="A131" s="596"/>
      <c r="B131" s="596"/>
      <c r="C131" s="596"/>
      <c r="D131" s="596"/>
      <c r="E131" s="596"/>
      <c r="F131" s="596"/>
      <c r="G131" s="596"/>
      <c r="H131" s="596"/>
      <c r="I131" s="101"/>
      <c r="J131" s="250"/>
      <c r="N131" s="600"/>
      <c r="O131" s="600"/>
      <c r="P131" s="600"/>
      <c r="Q131" s="600"/>
      <c r="R131" s="600"/>
      <c r="S131" s="600"/>
      <c r="T131" s="600"/>
      <c r="U131" s="138"/>
    </row>
    <row r="132" spans="1:21" x14ac:dyDescent="0.25">
      <c r="A132" s="704" t="s">
        <v>518</v>
      </c>
      <c r="B132" s="705"/>
      <c r="C132" s="705"/>
      <c r="D132" s="705"/>
      <c r="E132" s="705"/>
      <c r="F132" s="705"/>
      <c r="G132" s="705"/>
      <c r="H132" s="594" t="s">
        <v>351</v>
      </c>
      <c r="I132" s="134"/>
      <c r="J132" s="250"/>
      <c r="N132" s="746" t="s">
        <v>519</v>
      </c>
      <c r="O132" s="747"/>
      <c r="P132" s="747"/>
      <c r="Q132" s="747"/>
      <c r="R132" s="747"/>
      <c r="S132" s="747"/>
      <c r="T132" s="747"/>
      <c r="U132" s="138"/>
    </row>
    <row r="133" spans="1:21" x14ac:dyDescent="0.25">
      <c r="A133" s="705" t="s">
        <v>70</v>
      </c>
      <c r="B133" s="705"/>
      <c r="C133" s="705"/>
      <c r="D133" s="705"/>
      <c r="E133" s="705"/>
      <c r="F133" s="705"/>
      <c r="G133" s="705"/>
      <c r="H133" s="70">
        <f>IF(E30=0,"",IF((E15+E17+SUM(E19:E25))/E30&gt;0.75,1,""))</f>
        <v>1</v>
      </c>
      <c r="I133" s="116">
        <f>U130</f>
        <v>83826.040000000008</v>
      </c>
      <c r="N133" s="600"/>
      <c r="O133" s="600"/>
      <c r="P133" s="600"/>
      <c r="Q133" s="600"/>
      <c r="R133" s="600"/>
      <c r="S133" s="600"/>
      <c r="T133" s="600"/>
      <c r="U133" s="138"/>
    </row>
    <row r="134" spans="1:21" x14ac:dyDescent="0.25">
      <c r="B134" s="592"/>
      <c r="C134" s="592"/>
      <c r="D134" s="592"/>
      <c r="E134" s="592"/>
      <c r="F134" s="592"/>
      <c r="G134" s="592"/>
      <c r="H134" s="65"/>
      <c r="I134" s="101"/>
      <c r="N134" s="600"/>
      <c r="O134" s="600"/>
      <c r="P134" s="600"/>
      <c r="Q134" s="600"/>
      <c r="R134" s="600"/>
      <c r="S134" s="600"/>
      <c r="T134" s="600"/>
      <c r="U134" s="138"/>
    </row>
    <row r="135" spans="1:21" x14ac:dyDescent="0.25">
      <c r="A135" s="3" t="s">
        <v>73</v>
      </c>
      <c r="B135" s="592"/>
      <c r="C135" s="592"/>
      <c r="D135" s="592"/>
      <c r="E135" s="592"/>
      <c r="F135" s="592"/>
      <c r="G135" s="257">
        <v>0</v>
      </c>
      <c r="H135" s="139">
        <f>IF(H133=1,I133,I130)</f>
        <v>83826.040000000008</v>
      </c>
      <c r="I135" s="94">
        <f>ROUND(IF(E30=0,0,IF(E30&gt;250,-(((250/E30)*H135)*IF(G135="H",0.02,0.05)),IF(G135="H",-0.02*H135,-0.05*H135))),2)</f>
        <v>-4191.3</v>
      </c>
      <c r="N135" s="743"/>
      <c r="O135" s="743"/>
      <c r="P135" s="743"/>
      <c r="Q135" s="743"/>
      <c r="R135" s="743"/>
      <c r="S135" s="743"/>
      <c r="T135" s="743"/>
      <c r="U135" s="743"/>
    </row>
    <row r="136" spans="1:21" x14ac:dyDescent="0.25">
      <c r="B136" s="592"/>
      <c r="C136" s="592"/>
      <c r="D136" s="592"/>
      <c r="E136" s="592"/>
      <c r="F136" s="592"/>
      <c r="G136" s="592"/>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277906.74</v>
      </c>
      <c r="N137" s="71" t="s">
        <v>77</v>
      </c>
      <c r="O137" s="71"/>
      <c r="P137" s="71"/>
      <c r="Q137" s="71"/>
      <c r="R137" s="71"/>
      <c r="S137" s="71"/>
      <c r="T137" s="71"/>
      <c r="U137" s="71"/>
    </row>
    <row r="138" spans="1:21" x14ac:dyDescent="0.25">
      <c r="B138" s="592"/>
      <c r="C138" s="592"/>
      <c r="D138" s="592"/>
      <c r="E138" s="592"/>
      <c r="F138" s="592"/>
      <c r="G138" s="592"/>
      <c r="H138" s="65"/>
      <c r="I138" s="101"/>
      <c r="N138" s="72" t="s">
        <v>78</v>
      </c>
      <c r="O138" s="71"/>
      <c r="P138" s="71"/>
      <c r="Q138" s="71"/>
      <c r="R138" s="71"/>
      <c r="S138" s="71"/>
      <c r="T138" s="71"/>
      <c r="U138" s="71"/>
    </row>
    <row r="139" spans="1:21" x14ac:dyDescent="0.25">
      <c r="A139" s="3" t="s">
        <v>75</v>
      </c>
      <c r="B139" s="592"/>
      <c r="C139" s="140"/>
      <c r="D139" s="592"/>
      <c r="F139" s="592"/>
      <c r="G139" s="592"/>
      <c r="H139" s="65"/>
      <c r="I139" s="271">
        <f>-'Cumulative Payments'!Q71</f>
        <v>-52923.4</v>
      </c>
      <c r="N139" s="607"/>
      <c r="O139" s="607"/>
      <c r="P139" s="607"/>
      <c r="Q139" s="607"/>
      <c r="R139" s="607"/>
      <c r="S139" s="607"/>
      <c r="T139" s="607"/>
      <c r="U139" s="607"/>
    </row>
    <row r="140" spans="1:21" x14ac:dyDescent="0.25">
      <c r="B140" s="592"/>
      <c r="C140" s="592"/>
      <c r="D140" s="592"/>
      <c r="E140" s="592"/>
      <c r="F140" s="592"/>
      <c r="G140" s="592"/>
      <c r="H140" s="65"/>
      <c r="I140" s="101"/>
      <c r="N140" s="607"/>
      <c r="O140" s="607"/>
      <c r="P140" s="607"/>
      <c r="Q140" s="607"/>
      <c r="R140" s="607"/>
      <c r="S140" s="607"/>
      <c r="T140" s="607"/>
      <c r="U140" s="607"/>
    </row>
    <row r="141" spans="1:21" x14ac:dyDescent="0.25">
      <c r="A141" s="3" t="s">
        <v>246</v>
      </c>
      <c r="B141" s="592"/>
      <c r="C141" s="592"/>
      <c r="D141" s="592"/>
      <c r="E141" s="592"/>
      <c r="F141" s="592"/>
      <c r="G141" s="592"/>
      <c r="H141" s="65"/>
      <c r="I141" s="101">
        <f>I137+I139</f>
        <v>224983.34</v>
      </c>
      <c r="N141" s="607"/>
      <c r="O141" s="607"/>
      <c r="P141" s="607"/>
      <c r="Q141" s="607"/>
      <c r="R141" s="607"/>
      <c r="S141" s="607"/>
      <c r="T141" s="607"/>
      <c r="U141" s="607"/>
    </row>
    <row r="142" spans="1:21" x14ac:dyDescent="0.25">
      <c r="A142" s="3"/>
      <c r="B142" s="592"/>
      <c r="C142" s="592"/>
      <c r="D142" s="592"/>
      <c r="E142" s="592"/>
      <c r="F142" s="592"/>
      <c r="G142" s="592"/>
      <c r="H142" s="65"/>
      <c r="I142" s="101"/>
      <c r="N142" s="607"/>
      <c r="O142" s="607"/>
      <c r="P142" s="607"/>
      <c r="Q142" s="607"/>
      <c r="R142" s="607"/>
      <c r="S142" s="607"/>
      <c r="T142" s="607"/>
      <c r="U142" s="607"/>
    </row>
    <row r="143" spans="1:21" x14ac:dyDescent="0.25">
      <c r="A143" s="3" t="s">
        <v>247</v>
      </c>
      <c r="B143" s="592"/>
      <c r="C143" s="592"/>
      <c r="D143" s="592"/>
      <c r="E143" s="592"/>
      <c r="F143" s="592"/>
      <c r="G143" s="592"/>
      <c r="H143" s="65"/>
      <c r="I143" s="272">
        <f>'1461'!I143</f>
        <v>7</v>
      </c>
      <c r="N143" s="607"/>
      <c r="O143" s="607"/>
      <c r="P143" s="607"/>
      <c r="Q143" s="607"/>
      <c r="R143" s="607"/>
      <c r="S143" s="607"/>
      <c r="T143" s="607"/>
      <c r="U143" s="607"/>
    </row>
    <row r="144" spans="1:21" x14ac:dyDescent="0.25">
      <c r="B144" s="592"/>
      <c r="C144" s="592"/>
      <c r="D144" s="592"/>
      <c r="E144" s="592"/>
      <c r="F144" s="592"/>
      <c r="G144" s="592"/>
      <c r="H144" s="65"/>
      <c r="I144" s="101"/>
      <c r="N144" s="607"/>
      <c r="O144" s="607"/>
      <c r="P144" s="607"/>
      <c r="Q144" s="607"/>
      <c r="R144" s="607"/>
      <c r="S144" s="607"/>
      <c r="T144" s="607"/>
      <c r="U144" s="607"/>
    </row>
    <row r="145" spans="1:21" ht="16.5" thickBot="1" x14ac:dyDescent="0.3">
      <c r="A145" s="3" t="s">
        <v>76</v>
      </c>
      <c r="B145" s="592"/>
      <c r="C145" s="592"/>
      <c r="D145" s="592"/>
      <c r="E145" s="592"/>
      <c r="F145" s="592"/>
      <c r="G145" s="592"/>
      <c r="H145" s="65"/>
      <c r="I145" s="155">
        <f>ROUND(I141/I143,2)</f>
        <v>32140.48</v>
      </c>
      <c r="K145" s="437"/>
      <c r="N145" s="607"/>
      <c r="O145" s="607"/>
      <c r="P145" s="607"/>
      <c r="Q145" s="607"/>
      <c r="R145" s="607"/>
      <c r="S145" s="607"/>
      <c r="T145" s="607"/>
      <c r="U145" s="607"/>
    </row>
    <row r="146" spans="1:21" ht="16.5" thickTop="1" x14ac:dyDescent="0.25">
      <c r="B146" s="592"/>
      <c r="C146" s="592"/>
      <c r="D146" s="592"/>
      <c r="E146" s="592"/>
      <c r="F146" s="592"/>
      <c r="G146" s="592"/>
      <c r="H146" s="65"/>
      <c r="I146" s="101"/>
      <c r="N146" s="607"/>
      <c r="O146" s="607"/>
      <c r="P146" s="607"/>
      <c r="Q146" s="607"/>
      <c r="R146" s="607"/>
      <c r="S146" s="607"/>
      <c r="T146" s="607"/>
      <c r="U146" s="607"/>
    </row>
    <row r="147" spans="1:21" ht="16.5" thickBot="1" x14ac:dyDescent="0.3">
      <c r="A147" s="3" t="s">
        <v>90</v>
      </c>
      <c r="B147" s="592"/>
      <c r="C147" s="592"/>
      <c r="D147" s="592"/>
      <c r="E147" s="592"/>
      <c r="F147" s="592"/>
      <c r="G147" s="592"/>
      <c r="H147" s="65"/>
      <c r="I147" s="133">
        <f>ROUND(IF(G135="H",(H135*0.02)+I135,(H135*0.05)+I135),2)</f>
        <v>0</v>
      </c>
      <c r="N147" s="607"/>
      <c r="O147" s="607"/>
      <c r="P147" s="607"/>
      <c r="Q147" s="607"/>
      <c r="R147" s="607"/>
      <c r="S147" s="607"/>
      <c r="T147" s="607"/>
      <c r="U147" s="607"/>
    </row>
    <row r="148" spans="1:21" ht="16.5" thickTop="1" x14ac:dyDescent="0.25">
      <c r="B148" s="592"/>
      <c r="C148" s="592"/>
      <c r="D148" s="592"/>
      <c r="E148" s="592"/>
      <c r="F148" s="592"/>
      <c r="G148" s="592"/>
      <c r="H148" s="65"/>
      <c r="I148" s="134"/>
      <c r="N148" s="607"/>
      <c r="O148" s="607"/>
      <c r="P148" s="607"/>
      <c r="Q148" s="607"/>
      <c r="R148" s="607"/>
      <c r="S148" s="607"/>
      <c r="T148" s="607"/>
      <c r="U148" s="607"/>
    </row>
    <row r="149" spans="1:21" x14ac:dyDescent="0.25">
      <c r="B149" s="592"/>
      <c r="C149" s="592"/>
      <c r="D149" s="592"/>
      <c r="E149" s="592"/>
      <c r="F149" s="592"/>
      <c r="G149" s="592"/>
      <c r="H149" s="65"/>
      <c r="I149" s="101"/>
      <c r="N149" s="607"/>
      <c r="O149" s="607"/>
      <c r="P149" s="607"/>
      <c r="Q149" s="607"/>
      <c r="R149" s="607"/>
      <c r="S149" s="607"/>
      <c r="T149" s="607"/>
      <c r="U149" s="607"/>
    </row>
    <row r="150" spans="1:21" x14ac:dyDescent="0.25">
      <c r="B150" s="592"/>
      <c r="C150" s="592"/>
      <c r="D150" s="592"/>
      <c r="E150" s="592"/>
      <c r="F150" s="592"/>
      <c r="G150" s="592"/>
      <c r="H150" s="65"/>
      <c r="I150" s="134"/>
      <c r="N150" s="607"/>
      <c r="O150" s="607"/>
      <c r="P150" s="607"/>
      <c r="Q150" s="607"/>
      <c r="R150" s="607"/>
      <c r="S150" s="607"/>
      <c r="T150" s="607"/>
      <c r="U150" s="607"/>
    </row>
    <row r="151" spans="1:21" ht="12.75" customHeight="1" x14ac:dyDescent="0.25">
      <c r="A151" s="357" t="s">
        <v>7</v>
      </c>
      <c r="B151" s="357"/>
      <c r="C151" s="357"/>
      <c r="D151" s="357"/>
      <c r="E151" s="357"/>
      <c r="F151" s="357"/>
      <c r="G151" s="357"/>
      <c r="H151" s="357"/>
      <c r="I151" s="357"/>
      <c r="J151" s="134"/>
      <c r="N151" s="607"/>
      <c r="O151" s="607"/>
      <c r="P151" s="607"/>
      <c r="Q151" s="607"/>
      <c r="R151" s="607"/>
      <c r="S151" s="607"/>
      <c r="T151" s="607"/>
      <c r="U151" s="607"/>
    </row>
    <row r="152" spans="1:21" ht="12.75" customHeight="1" x14ac:dyDescent="0.25">
      <c r="A152" s="358" t="s">
        <v>259</v>
      </c>
      <c r="B152" s="359"/>
      <c r="C152" s="359"/>
      <c r="D152" s="359"/>
      <c r="E152" s="359"/>
      <c r="F152" s="359"/>
      <c r="G152" s="359"/>
      <c r="H152" s="359"/>
      <c r="I152" s="359"/>
      <c r="J152" s="77"/>
      <c r="K152" s="339"/>
      <c r="L152" s="76"/>
      <c r="M152" s="76"/>
      <c r="N152" s="607"/>
      <c r="O152" s="607"/>
      <c r="P152" s="607"/>
      <c r="Q152" s="607"/>
      <c r="R152" s="607"/>
      <c r="S152" s="607"/>
      <c r="T152" s="607"/>
      <c r="U152" s="607"/>
    </row>
    <row r="153" spans="1:21" ht="12.75" customHeight="1" x14ac:dyDescent="0.25">
      <c r="A153" s="364" t="s">
        <v>390</v>
      </c>
      <c r="B153" s="359"/>
      <c r="C153" s="359"/>
      <c r="D153" s="359"/>
      <c r="E153" s="359"/>
      <c r="F153" s="359"/>
      <c r="G153" s="359"/>
      <c r="H153" s="359"/>
      <c r="I153" s="359"/>
      <c r="J153" s="77"/>
      <c r="K153" s="339"/>
      <c r="L153" s="76"/>
      <c r="M153" s="76"/>
      <c r="N153" s="607"/>
      <c r="O153" s="607"/>
      <c r="P153" s="607"/>
      <c r="Q153" s="607"/>
      <c r="R153" s="607"/>
      <c r="S153" s="607"/>
      <c r="T153" s="607"/>
      <c r="U153" s="607"/>
    </row>
    <row r="154" spans="1:21" ht="12.75" customHeight="1" x14ac:dyDescent="0.25">
      <c r="A154" s="361" t="s">
        <v>391</v>
      </c>
      <c r="B154" s="360"/>
      <c r="C154" s="360"/>
      <c r="D154" s="360"/>
      <c r="E154" s="360"/>
      <c r="F154" s="360"/>
      <c r="G154" s="360"/>
      <c r="H154" s="360"/>
      <c r="I154" s="360"/>
      <c r="J154" s="76"/>
      <c r="K154" s="76"/>
      <c r="L154" s="76"/>
      <c r="M154" s="76"/>
      <c r="N154" s="607"/>
      <c r="O154" s="607"/>
      <c r="P154" s="607"/>
      <c r="Q154" s="607"/>
      <c r="R154" s="607"/>
      <c r="S154" s="607"/>
      <c r="T154" s="607"/>
      <c r="U154" s="607"/>
    </row>
    <row r="155" spans="1:21" s="76" customFormat="1" ht="12.75" customHeight="1" x14ac:dyDescent="0.2">
      <c r="A155" s="361" t="s">
        <v>392</v>
      </c>
      <c r="B155" s="360"/>
      <c r="C155" s="360"/>
      <c r="D155" s="360"/>
      <c r="E155" s="360"/>
      <c r="F155" s="360"/>
      <c r="G155" s="360"/>
      <c r="H155" s="360"/>
      <c r="I155" s="360"/>
      <c r="N155" s="745"/>
      <c r="O155" s="745"/>
      <c r="P155" s="745"/>
      <c r="Q155" s="745"/>
      <c r="R155" s="745"/>
      <c r="S155" s="745"/>
      <c r="T155" s="745"/>
      <c r="U155" s="745"/>
    </row>
    <row r="156" spans="1:21" s="76" customFormat="1" ht="12.75" customHeight="1" x14ac:dyDescent="0.2">
      <c r="A156" s="361" t="s">
        <v>393</v>
      </c>
      <c r="B156" s="360"/>
      <c r="C156" s="360"/>
      <c r="D156" s="360"/>
      <c r="E156" s="360"/>
      <c r="F156" s="360"/>
      <c r="G156" s="360"/>
      <c r="H156" s="360"/>
      <c r="I156" s="360"/>
      <c r="N156" s="607"/>
      <c r="O156" s="607"/>
      <c r="P156" s="607"/>
      <c r="Q156" s="607"/>
      <c r="R156" s="607"/>
      <c r="S156" s="607"/>
      <c r="T156" s="607"/>
      <c r="U156" s="607"/>
    </row>
    <row r="157" spans="1:21" s="76" customFormat="1" ht="12.75" customHeight="1" x14ac:dyDescent="0.2">
      <c r="A157" s="361" t="s">
        <v>394</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395</v>
      </c>
      <c r="B158" s="360"/>
      <c r="C158" s="360"/>
      <c r="D158" s="360"/>
      <c r="E158" s="360"/>
      <c r="F158" s="360"/>
      <c r="G158" s="360"/>
      <c r="H158" s="360"/>
      <c r="I158" s="360"/>
      <c r="N158" s="78"/>
    </row>
    <row r="159" spans="1:21" s="76" customFormat="1" ht="12.75" customHeight="1" x14ac:dyDescent="0.2">
      <c r="A159" s="361" t="s">
        <v>397</v>
      </c>
      <c r="B159" s="360"/>
      <c r="C159" s="360"/>
      <c r="D159" s="360"/>
      <c r="E159" s="360"/>
      <c r="F159" s="360"/>
      <c r="G159" s="360"/>
      <c r="H159" s="360"/>
      <c r="I159" s="360"/>
      <c r="K159" s="360"/>
      <c r="N159" s="78"/>
    </row>
    <row r="160" spans="1:21" s="76" customFormat="1" ht="12.75" customHeight="1" x14ac:dyDescent="0.2">
      <c r="A160" s="366" t="s">
        <v>396</v>
      </c>
      <c r="B160" s="360"/>
      <c r="C160" s="360"/>
      <c r="D160" s="360"/>
      <c r="E160" s="360"/>
      <c r="F160" s="360"/>
      <c r="G160" s="360"/>
      <c r="H160" s="360"/>
      <c r="I160" s="360"/>
      <c r="N160" s="78"/>
    </row>
    <row r="161" spans="1:14" s="76" customFormat="1" ht="12.75" customHeight="1" x14ac:dyDescent="0.2">
      <c r="A161" s="361" t="s">
        <v>398</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401</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403</v>
      </c>
      <c r="B165" s="360"/>
      <c r="C165" s="360"/>
      <c r="D165" s="360"/>
      <c r="E165" s="360"/>
      <c r="F165" s="360"/>
      <c r="G165" s="360"/>
      <c r="H165" s="360"/>
      <c r="I165" s="360"/>
      <c r="N165" s="78"/>
    </row>
    <row r="166" spans="1:14" s="76" customFormat="1" ht="12.75" customHeight="1" x14ac:dyDescent="0.2">
      <c r="A166" s="366" t="s">
        <v>402</v>
      </c>
      <c r="B166" s="360"/>
      <c r="C166" s="360"/>
      <c r="D166" s="360"/>
      <c r="E166" s="360"/>
      <c r="F166" s="360"/>
      <c r="G166" s="360"/>
      <c r="H166" s="360"/>
      <c r="I166" s="360"/>
      <c r="N166" s="78"/>
    </row>
    <row r="167" spans="1:14" s="76" customFormat="1" ht="12.75" customHeight="1" x14ac:dyDescent="0.2">
      <c r="A167" s="361" t="s">
        <v>404</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406</v>
      </c>
      <c r="B169" s="360"/>
      <c r="C169" s="360"/>
      <c r="D169" s="360"/>
      <c r="E169" s="360"/>
      <c r="F169" s="360"/>
      <c r="G169" s="360"/>
      <c r="H169" s="360"/>
      <c r="I169" s="360"/>
      <c r="N169" s="78"/>
    </row>
    <row r="170" spans="1:14" s="76" customFormat="1" ht="12.75" customHeight="1" x14ac:dyDescent="0.2">
      <c r="A170" s="366" t="s">
        <v>405</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407</v>
      </c>
      <c r="B175" s="370"/>
      <c r="C175" s="370"/>
      <c r="D175" s="370"/>
      <c r="E175" s="370"/>
      <c r="F175" s="370"/>
      <c r="G175" s="370"/>
      <c r="H175" s="370"/>
      <c r="I175" s="370"/>
      <c r="N175" s="78"/>
    </row>
    <row r="176" spans="1:14" s="76" customFormat="1" ht="12.75" customHeight="1" x14ac:dyDescent="0.2">
      <c r="A176" s="367" t="s">
        <v>408</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CCCC"/>
  </sheetPr>
  <dimension ref="A1:V246"/>
  <sheetViews>
    <sheetView workbookViewId="0">
      <selection activeCell="C63" sqref="C63"/>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8" t="s">
        <v>15</v>
      </c>
      <c r="C1" s="729"/>
      <c r="D1" s="729"/>
      <c r="E1" s="729"/>
      <c r="F1" s="729"/>
      <c r="G1" s="729"/>
      <c r="H1" s="729"/>
      <c r="I1" s="729"/>
      <c r="J1" s="135"/>
      <c r="K1" s="135"/>
      <c r="L1" s="135"/>
      <c r="N1" s="82">
        <f>A1</f>
        <v>50</v>
      </c>
      <c r="O1" s="809" t="s">
        <v>15</v>
      </c>
      <c r="P1" s="810"/>
      <c r="Q1" s="810"/>
      <c r="R1" s="810"/>
      <c r="S1" s="810"/>
      <c r="T1" s="810"/>
      <c r="U1" s="810"/>
    </row>
    <row r="2" spans="1:21" ht="21" x14ac:dyDescent="0.35">
      <c r="A2" s="1" t="s">
        <v>252</v>
      </c>
      <c r="B2" s="2"/>
      <c r="C2" s="2"/>
      <c r="D2" s="2"/>
      <c r="E2" s="2"/>
      <c r="F2" s="2"/>
      <c r="G2" s="2"/>
      <c r="H2" s="2"/>
      <c r="I2" s="2"/>
      <c r="N2" s="811" t="s">
        <v>18</v>
      </c>
      <c r="O2" s="811"/>
      <c r="P2" s="811"/>
      <c r="Q2" s="811"/>
      <c r="R2" s="811"/>
      <c r="S2" s="811"/>
      <c r="T2" s="811"/>
      <c r="U2" s="811"/>
    </row>
    <row r="3" spans="1:21" x14ac:dyDescent="0.25">
      <c r="A3" s="253" t="s">
        <v>526</v>
      </c>
      <c r="N3" s="751" t="str">
        <f>A3</f>
        <v>Based on the FLDOE 2024-25 Second Calculation</v>
      </c>
      <c r="O3" s="751"/>
      <c r="P3" s="751"/>
      <c r="Q3" s="751"/>
      <c r="R3" s="751"/>
      <c r="S3" s="751"/>
      <c r="T3" s="751"/>
      <c r="U3" s="751"/>
    </row>
    <row r="4" spans="1:21" x14ac:dyDescent="0.25">
      <c r="A4" s="730" t="s">
        <v>0</v>
      </c>
      <c r="B4" s="730"/>
      <c r="C4" s="731" t="s">
        <v>9</v>
      </c>
      <c r="D4" s="731"/>
      <c r="E4" s="731"/>
      <c r="F4" s="324" t="s">
        <v>547</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v>5330.98</v>
      </c>
      <c r="D8" s="86"/>
      <c r="E8" s="87"/>
      <c r="F8" s="84"/>
      <c r="G8" s="85" t="s">
        <v>411</v>
      </c>
      <c r="H8" s="286">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v>1</v>
      </c>
      <c r="I9" s="75"/>
      <c r="N9" s="12"/>
      <c r="O9" s="12"/>
      <c r="P9" s="13"/>
      <c r="Q9" s="13"/>
      <c r="R9" s="403" t="s">
        <v>410</v>
      </c>
      <c r="S9" s="403"/>
      <c r="T9" s="808">
        <f>H9</f>
        <v>1</v>
      </c>
      <c r="U9" s="808"/>
    </row>
    <row r="10" spans="1:21" x14ac:dyDescent="0.25">
      <c r="A10" s="7"/>
      <c r="B10" s="7" t="s">
        <v>328</v>
      </c>
      <c r="C10" s="8" t="s">
        <v>328</v>
      </c>
      <c r="D10" s="8" t="s">
        <v>328</v>
      </c>
      <c r="E10" s="8"/>
      <c r="F10" s="9"/>
      <c r="G10" s="9"/>
      <c r="H10" s="10"/>
      <c r="I10" s="341" t="s">
        <v>525</v>
      </c>
      <c r="N10" s="12"/>
      <c r="O10" s="12"/>
      <c r="P10" s="13"/>
      <c r="Q10" s="13"/>
      <c r="R10" s="14"/>
      <c r="S10" s="14"/>
      <c r="T10" s="15"/>
      <c r="U10" s="384" t="str">
        <f>I10</f>
        <v>2024-25</v>
      </c>
    </row>
    <row r="11" spans="1:21" x14ac:dyDescent="0.25">
      <c r="A11" s="7"/>
      <c r="B11" s="7"/>
      <c r="C11" s="88" t="s">
        <v>534</v>
      </c>
      <c r="D11" s="349" t="s">
        <v>535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36" t="s">
        <v>1</v>
      </c>
      <c r="B12" s="36"/>
      <c r="C12" s="340" t="s">
        <v>2</v>
      </c>
      <c r="D12" s="340" t="s">
        <v>2</v>
      </c>
      <c r="E12" s="9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226.89</v>
      </c>
      <c r="D18" s="143">
        <v>0</v>
      </c>
      <c r="E18" s="116">
        <f>IF(D$30=0,C18*2,C18+D18)</f>
        <v>453.78</v>
      </c>
      <c r="F18" s="788">
        <v>0.97799999999999998</v>
      </c>
      <c r="G18" s="788"/>
      <c r="H18" s="80">
        <f t="shared" si="2"/>
        <v>443.79680000000002</v>
      </c>
      <c r="I18" s="101">
        <f t="shared" si="3"/>
        <v>2462399.44</v>
      </c>
      <c r="N18" s="747" t="s">
        <v>24</v>
      </c>
      <c r="O18" s="747"/>
      <c r="P18" s="789">
        <f t="shared" si="0"/>
        <v>0</v>
      </c>
      <c r="Q18" s="789"/>
      <c r="R18" s="793">
        <v>1</v>
      </c>
      <c r="S18" s="793"/>
      <c r="T18" s="95">
        <f t="shared" si="4"/>
        <v>0</v>
      </c>
      <c r="U18" s="492">
        <f t="shared" si="5"/>
        <v>0</v>
      </c>
    </row>
    <row r="19" spans="1:21" x14ac:dyDescent="0.25">
      <c r="A19" s="705" t="s">
        <v>25</v>
      </c>
      <c r="B19" s="705"/>
      <c r="C19" s="143">
        <v>40.799999999999997</v>
      </c>
      <c r="D19" s="143">
        <v>0</v>
      </c>
      <c r="E19" s="116">
        <f t="shared" si="1"/>
        <v>81.599999999999994</v>
      </c>
      <c r="F19" s="788">
        <v>0.97799999999999998</v>
      </c>
      <c r="G19" s="788"/>
      <c r="H19" s="80">
        <f t="shared" si="2"/>
        <v>79.8048</v>
      </c>
      <c r="I19" s="101">
        <f t="shared" si="3"/>
        <v>442795.65</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v>1.1919999999999999</v>
      </c>
      <c r="G26" s="788"/>
      <c r="H26" s="80">
        <f t="shared" si="2"/>
        <v>0</v>
      </c>
      <c r="I26" s="101">
        <f t="shared" si="3"/>
        <v>0</v>
      </c>
      <c r="L26" s="250"/>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v>1.1919999999999999</v>
      </c>
      <c r="G27" s="788"/>
      <c r="H27" s="80">
        <f t="shared" si="2"/>
        <v>0</v>
      </c>
      <c r="I27" s="101">
        <f t="shared" si="3"/>
        <v>0</v>
      </c>
      <c r="L27" s="250"/>
      <c r="N27" s="747" t="s">
        <v>86</v>
      </c>
      <c r="O27" s="747"/>
      <c r="P27" s="789">
        <f t="shared" si="0"/>
        <v>0</v>
      </c>
      <c r="Q27" s="789"/>
      <c r="R27" s="793">
        <v>1</v>
      </c>
      <c r="S27" s="793"/>
      <c r="T27" s="95">
        <f t="shared" si="4"/>
        <v>0</v>
      </c>
      <c r="U27" s="492">
        <f t="shared" si="5"/>
        <v>0</v>
      </c>
    </row>
    <row r="28" spans="1:21" x14ac:dyDescent="0.25">
      <c r="A28" s="705" t="s">
        <v>87</v>
      </c>
      <c r="B28" s="705"/>
      <c r="C28" s="143">
        <v>3.44</v>
      </c>
      <c r="D28" s="143">
        <v>0</v>
      </c>
      <c r="E28" s="116">
        <f t="shared" si="1"/>
        <v>6.88</v>
      </c>
      <c r="F28" s="788">
        <v>1.1919999999999999</v>
      </c>
      <c r="G28" s="788"/>
      <c r="H28" s="80">
        <f t="shared" si="2"/>
        <v>8.2010000000000005</v>
      </c>
      <c r="I28" s="101">
        <f t="shared" si="3"/>
        <v>45503.12</v>
      </c>
      <c r="N28" s="747" t="s">
        <v>87</v>
      </c>
      <c r="O28" s="747"/>
      <c r="P28" s="789">
        <f t="shared" si="0"/>
        <v>0</v>
      </c>
      <c r="Q28" s="789"/>
      <c r="R28" s="793">
        <v>1</v>
      </c>
      <c r="S28" s="793"/>
      <c r="T28" s="95">
        <f t="shared" si="4"/>
        <v>0</v>
      </c>
      <c r="U28" s="492">
        <f t="shared" si="5"/>
        <v>0</v>
      </c>
    </row>
    <row r="29" spans="1:21" x14ac:dyDescent="0.25">
      <c r="A29" s="705" t="s">
        <v>88</v>
      </c>
      <c r="B29" s="705"/>
      <c r="C29" s="110">
        <v>78.56</v>
      </c>
      <c r="D29" s="110">
        <v>0</v>
      </c>
      <c r="E29" s="154">
        <f t="shared" si="1"/>
        <v>157.12</v>
      </c>
      <c r="F29" s="788">
        <v>1.079</v>
      </c>
      <c r="G29" s="788"/>
      <c r="H29" s="93">
        <f t="shared" si="2"/>
        <v>169.5325</v>
      </c>
      <c r="I29" s="94">
        <f t="shared" si="3"/>
        <v>940648.36</v>
      </c>
      <c r="N29" s="748" t="s">
        <v>88</v>
      </c>
      <c r="O29" s="748"/>
      <c r="P29" s="789">
        <f t="shared" si="0"/>
        <v>0</v>
      </c>
      <c r="Q29" s="789"/>
      <c r="R29" s="790">
        <v>1</v>
      </c>
      <c r="S29" s="790"/>
      <c r="T29" s="95">
        <f t="shared" si="4"/>
        <v>0</v>
      </c>
      <c r="U29" s="492">
        <f t="shared" si="5"/>
        <v>0</v>
      </c>
    </row>
    <row r="30" spans="1:21" x14ac:dyDescent="0.25">
      <c r="A30" s="708" t="s">
        <v>5</v>
      </c>
      <c r="B30" s="708"/>
      <c r="C30" s="94">
        <f>SUM(C14:C29)</f>
        <v>349.69</v>
      </c>
      <c r="D30" s="94">
        <f>SUM(D14:D29)</f>
        <v>0</v>
      </c>
      <c r="E30" s="94">
        <f>SUM(E14:E29)</f>
        <v>699.38</v>
      </c>
      <c r="F30" s="724"/>
      <c r="G30" s="724"/>
      <c r="H30" s="99">
        <f>SUM(H14:H29)</f>
        <v>701.33510000000001</v>
      </c>
      <c r="I30" s="94">
        <f>SUM(I14:I29)</f>
        <v>3891346.57</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783" t="s">
        <v>232</v>
      </c>
      <c r="G34" s="783"/>
      <c r="H34" s="783"/>
      <c r="I34" s="101"/>
      <c r="N34" s="28"/>
      <c r="O34" s="28"/>
      <c r="P34" s="29"/>
      <c r="Q34" s="29"/>
      <c r="R34" s="30"/>
      <c r="S34" s="30"/>
      <c r="T34" s="102"/>
      <c r="U34" s="103"/>
    </row>
    <row r="35" spans="1:21" ht="15.6" hidden="1" customHeight="1" x14ac:dyDescent="0.25">
      <c r="A35" s="3"/>
      <c r="B35" s="69"/>
      <c r="C35" s="69"/>
      <c r="D35" s="69"/>
      <c r="E35" s="69"/>
      <c r="F35" s="783"/>
      <c r="G35" s="783"/>
      <c r="H35" s="783"/>
      <c r="I35" s="24" t="str">
        <f>I10</f>
        <v>2024-25</v>
      </c>
      <c r="N35" s="751" t="s">
        <v>26</v>
      </c>
      <c r="O35" s="751"/>
      <c r="P35" s="751"/>
      <c r="Q35" s="751"/>
      <c r="R35" s="751"/>
      <c r="S35" s="751"/>
      <c r="T35" s="751"/>
      <c r="U35" s="25" t="str">
        <f>I35</f>
        <v>2024-25</v>
      </c>
    </row>
    <row r="36" spans="1:21" hidden="1" x14ac:dyDescent="0.25">
      <c r="A36" s="26"/>
      <c r="B36" s="26"/>
      <c r="C36" s="88" t="s">
        <v>334</v>
      </c>
      <c r="D36" s="88"/>
      <c r="E36" s="89" t="s">
        <v>8</v>
      </c>
      <c r="F36" s="783"/>
      <c r="G36" s="783"/>
      <c r="H36" s="783"/>
      <c r="I36" s="24" t="s">
        <v>27</v>
      </c>
      <c r="N36" s="28"/>
      <c r="O36" s="28"/>
      <c r="P36" s="29"/>
      <c r="Q36" s="29"/>
      <c r="R36" s="30"/>
      <c r="S36" s="30"/>
      <c r="T36" s="102"/>
      <c r="U36" s="25" t="s">
        <v>27</v>
      </c>
    </row>
    <row r="37" spans="1:21" ht="26.25" hidden="1" x14ac:dyDescent="0.25">
      <c r="A37" s="725" t="s">
        <v>50</v>
      </c>
      <c r="B37" s="725"/>
      <c r="C37" s="340" t="s">
        <v>2</v>
      </c>
      <c r="D37" s="340"/>
      <c r="E37" s="90" t="s">
        <v>2</v>
      </c>
      <c r="F37" s="784"/>
      <c r="G37" s="784"/>
      <c r="H37" s="784"/>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76" t="s">
        <v>44</v>
      </c>
      <c r="O46" s="776"/>
      <c r="P46" s="776"/>
      <c r="Q46" s="776"/>
      <c r="R46" s="35">
        <f>R44+T30</f>
        <v>0</v>
      </c>
      <c r="S46" s="781" t="s">
        <v>42</v>
      </c>
      <c r="T46" s="781"/>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1" t="s">
        <v>416</v>
      </c>
      <c r="F50" s="411"/>
      <c r="G50" s="412"/>
      <c r="H50" s="412"/>
      <c r="I50" s="413"/>
      <c r="N50" s="431" t="s">
        <v>416</v>
      </c>
      <c r="O50" s="414"/>
      <c r="P50" s="414"/>
      <c r="Q50" s="414"/>
      <c r="R50" s="415"/>
      <c r="S50" s="416"/>
      <c r="T50" s="416"/>
      <c r="U50" s="423"/>
    </row>
    <row r="51" spans="1:22" x14ac:dyDescent="0.25">
      <c r="A51" s="408"/>
      <c r="B51" s="3" t="s">
        <v>528</v>
      </c>
      <c r="C51" s="26"/>
      <c r="D51" s="26"/>
      <c r="E51" s="43" t="s">
        <v>417</v>
      </c>
      <c r="F51" s="419">
        <v>4348406.2699999996</v>
      </c>
      <c r="G51" s="109" t="s">
        <v>6</v>
      </c>
      <c r="H51" s="420">
        <v>5.5899999999999998E-2</v>
      </c>
      <c r="I51" s="101">
        <f>ROUND(F51*H51,2)</f>
        <v>243075.91</v>
      </c>
      <c r="N51" s="425"/>
      <c r="O51" s="51"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4348406.2699999996</v>
      </c>
      <c r="G52" s="109" t="s">
        <v>6</v>
      </c>
      <c r="H52" s="420">
        <v>1.0699999999999999E-2</v>
      </c>
      <c r="I52" s="101">
        <f>ROUND(F52*H52,2)</f>
        <v>46527.95</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289603.86</v>
      </c>
      <c r="N53" s="28"/>
      <c r="O53" s="402" t="s">
        <v>418</v>
      </c>
      <c r="P53" s="28"/>
      <c r="Q53" s="44"/>
      <c r="R53" s="427"/>
      <c r="S53" s="428"/>
      <c r="T53" s="429"/>
      <c r="U53" s="421">
        <f>SUM(U51:U52)</f>
        <v>0</v>
      </c>
    </row>
    <row r="54" spans="1:22" x14ac:dyDescent="0.25">
      <c r="A54" s="241"/>
      <c r="C54" s="463" t="s">
        <v>462</v>
      </c>
      <c r="D54" s="463" t="s">
        <v>462</v>
      </c>
      <c r="G54" s="42"/>
      <c r="H54" s="114"/>
      <c r="I54" s="114"/>
      <c r="N54" s="480"/>
      <c r="O54" s="51"/>
      <c r="P54" s="40" t="s">
        <v>462</v>
      </c>
      <c r="Q54" s="40" t="s">
        <v>462</v>
      </c>
      <c r="R54" s="51"/>
      <c r="S54" s="51"/>
      <c r="T54" s="481"/>
      <c r="U54" s="482"/>
      <c r="V54" s="114"/>
    </row>
    <row r="55" spans="1:22" x14ac:dyDescent="0.25">
      <c r="A55" s="464"/>
      <c r="B55" s="464"/>
      <c r="C55" s="88" t="s">
        <v>534</v>
      </c>
      <c r="D55" s="349" t="s">
        <v>535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
        <v>2</v>
      </c>
      <c r="D56" s="340" t="s">
        <v>2</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2" si="10">IF(D$72=0,C57*2,C57+D57)</f>
        <v>0</v>
      </c>
      <c r="F57" s="462" t="s">
        <v>455</v>
      </c>
      <c r="G57" s="462">
        <v>251</v>
      </c>
      <c r="H57" s="476">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38.39</v>
      </c>
      <c r="D63" s="143">
        <v>0</v>
      </c>
      <c r="E63" s="116">
        <f>IF(D$66=0,C63*2,C63+D63)</f>
        <v>76.78</v>
      </c>
      <c r="F63" s="463" t="s">
        <v>14</v>
      </c>
      <c r="G63" s="462">
        <v>251</v>
      </c>
      <c r="H63" s="476">
        <v>835</v>
      </c>
      <c r="I63" s="101">
        <f t="shared" si="11"/>
        <v>64111.3</v>
      </c>
      <c r="N63" s="779"/>
      <c r="O63" s="779"/>
      <c r="P63" s="773"/>
      <c r="Q63" s="773"/>
      <c r="R63" s="40" t="s">
        <v>14</v>
      </c>
      <c r="S63" s="468">
        <v>251</v>
      </c>
      <c r="T63" s="479">
        <f t="shared" si="12"/>
        <v>835</v>
      </c>
      <c r="U63" s="493">
        <f t="shared" si="13"/>
        <v>0</v>
      </c>
      <c r="V63" s="443"/>
    </row>
    <row r="64" spans="1:22" x14ac:dyDescent="0.25">
      <c r="A64" s="721"/>
      <c r="B64" s="721"/>
      <c r="C64" s="143">
        <v>2.14</v>
      </c>
      <c r="D64" s="143">
        <v>0</v>
      </c>
      <c r="E64" s="116">
        <f>IF(D$66=0,C64*2,C64+D64)</f>
        <v>4.28</v>
      </c>
      <c r="F64" s="463" t="s">
        <v>14</v>
      </c>
      <c r="G64" s="462">
        <v>252</v>
      </c>
      <c r="H64" s="476">
        <v>3168</v>
      </c>
      <c r="I64" s="101">
        <f t="shared" si="11"/>
        <v>13559.04</v>
      </c>
      <c r="N64" s="779"/>
      <c r="O64" s="779"/>
      <c r="P64" s="773"/>
      <c r="Q64" s="773"/>
      <c r="R64" s="40" t="s">
        <v>14</v>
      </c>
      <c r="S64" s="468">
        <v>252</v>
      </c>
      <c r="T64" s="479">
        <f t="shared" si="12"/>
        <v>3168</v>
      </c>
      <c r="U64" s="493">
        <f t="shared" si="13"/>
        <v>0</v>
      </c>
      <c r="V64" s="443"/>
    </row>
    <row r="65" spans="1:22" ht="16.5" thickBot="1" x14ac:dyDescent="0.3">
      <c r="A65" s="721"/>
      <c r="B65" s="721"/>
      <c r="C65" s="143">
        <v>0.27</v>
      </c>
      <c r="D65" s="143">
        <v>0</v>
      </c>
      <c r="E65" s="116">
        <f>IF(D$66=0,C65*2,C65+D65)</f>
        <v>0.54</v>
      </c>
      <c r="F65" s="463" t="s">
        <v>14</v>
      </c>
      <c r="G65" s="462">
        <v>253</v>
      </c>
      <c r="H65" s="476">
        <v>6685</v>
      </c>
      <c r="I65" s="101">
        <f t="shared" si="11"/>
        <v>3609.9</v>
      </c>
      <c r="N65" s="779"/>
      <c r="O65" s="779"/>
      <c r="P65" s="774"/>
      <c r="Q65" s="774"/>
      <c r="R65" s="40" t="s">
        <v>14</v>
      </c>
      <c r="S65" s="468">
        <v>253</v>
      </c>
      <c r="T65" s="479">
        <f t="shared" si="12"/>
        <v>6685</v>
      </c>
      <c r="U65" s="494">
        <f t="shared" si="13"/>
        <v>0</v>
      </c>
      <c r="V65" s="443"/>
    </row>
    <row r="66" spans="1:22" ht="16.5" thickBot="1" x14ac:dyDescent="0.3">
      <c r="A66" s="241"/>
      <c r="C66" s="97">
        <f>SUM(C57:C65)</f>
        <v>40.800000000000004</v>
      </c>
      <c r="D66" s="97">
        <f>SUM(D57:D65)</f>
        <v>0</v>
      </c>
      <c r="E66" s="97">
        <f>SUM(E57:E65)</f>
        <v>81.600000000000009</v>
      </c>
      <c r="F66" s="708" t="s">
        <v>464</v>
      </c>
      <c r="G66" s="708"/>
      <c r="H66" s="708"/>
      <c r="I66" s="97">
        <f>SUM(I57:I65)</f>
        <v>81280.239999999991</v>
      </c>
      <c r="N66" s="480"/>
      <c r="O66" s="51"/>
      <c r="P66" s="775">
        <f>SUM(P57:P65)</f>
        <v>0</v>
      </c>
      <c r="Q66" s="775"/>
      <c r="R66" s="776" t="s">
        <v>464</v>
      </c>
      <c r="S66" s="776"/>
      <c r="T66" s="776"/>
      <c r="U66" s="495">
        <f>SUM(U57:U65)</f>
        <v>0</v>
      </c>
      <c r="V66" s="443"/>
    </row>
    <row r="67" spans="1:22" x14ac:dyDescent="0.25">
      <c r="A67" s="241"/>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699.38</v>
      </c>
      <c r="D69" s="718" t="s">
        <v>430</v>
      </c>
      <c r="E69" s="718"/>
      <c r="F69" s="718"/>
      <c r="G69" s="718"/>
      <c r="H69" s="287">
        <v>210228.91</v>
      </c>
      <c r="I69" s="113"/>
      <c r="N69" s="746" t="s">
        <v>423</v>
      </c>
      <c r="O69" s="747"/>
      <c r="P69" s="41">
        <f>P30</f>
        <v>0</v>
      </c>
      <c r="Q69" s="771" t="s">
        <v>425</v>
      </c>
      <c r="R69" s="772"/>
      <c r="S69" s="772"/>
      <c r="T69" s="760">
        <f>H69</f>
        <v>210228.91</v>
      </c>
      <c r="U69" s="760"/>
    </row>
    <row r="70" spans="1:22" x14ac:dyDescent="0.25">
      <c r="B70" s="69"/>
      <c r="G70" s="42" t="s">
        <v>12</v>
      </c>
      <c r="H70" s="114">
        <f>ROUND(C69/H69,6)</f>
        <v>3.3270000000000001E-3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701.33510000000001</v>
      </c>
      <c r="D72" s="718" t="s">
        <v>431</v>
      </c>
      <c r="E72" s="718"/>
      <c r="F72" s="718"/>
      <c r="G72" s="718"/>
      <c r="H72" s="288">
        <v>234891.44</v>
      </c>
      <c r="I72" s="116"/>
      <c r="N72" s="746" t="s">
        <v>424</v>
      </c>
      <c r="O72" s="747"/>
      <c r="P72" s="41">
        <f>T30</f>
        <v>0</v>
      </c>
      <c r="Q72" s="771" t="s">
        <v>426</v>
      </c>
      <c r="R72" s="772"/>
      <c r="S72" s="772"/>
      <c r="T72" s="760">
        <f>H72</f>
        <v>234891.44</v>
      </c>
      <c r="U72" s="760"/>
    </row>
    <row r="73" spans="1:22" x14ac:dyDescent="0.25">
      <c r="G73" s="42" t="s">
        <v>12</v>
      </c>
      <c r="H73" s="114">
        <f>ROUND(C72/H72,6)</f>
        <v>2.9859999999999999E-3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699.38</v>
      </c>
      <c r="D75" s="717" t="s">
        <v>432</v>
      </c>
      <c r="E75" s="717"/>
      <c r="F75" s="717"/>
      <c r="G75" s="717"/>
      <c r="H75" s="287">
        <v>187665.41</v>
      </c>
      <c r="I75" s="113"/>
      <c r="N75" s="746" t="s">
        <v>422</v>
      </c>
      <c r="O75" s="747"/>
      <c r="P75" s="41">
        <f>P30</f>
        <v>0</v>
      </c>
      <c r="Q75" s="767" t="s">
        <v>427</v>
      </c>
      <c r="R75" s="768"/>
      <c r="S75" s="768"/>
      <c r="T75" s="760">
        <f>H75</f>
        <v>187665.41</v>
      </c>
      <c r="U75" s="760"/>
    </row>
    <row r="76" spans="1:22" x14ac:dyDescent="0.25">
      <c r="B76" s="69"/>
      <c r="G76" s="42" t="s">
        <v>12</v>
      </c>
      <c r="H76" s="114">
        <f>ROUND(C75/H75,6)</f>
        <v>3.7269999999999998E-3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699.38</v>
      </c>
      <c r="D78" s="713" t="s">
        <v>433</v>
      </c>
      <c r="E78" s="713"/>
      <c r="F78" s="713"/>
      <c r="G78" s="713"/>
      <c r="H78" s="287">
        <v>209892.26</v>
      </c>
      <c r="I78" s="113"/>
      <c r="N78" s="746" t="s">
        <v>422</v>
      </c>
      <c r="O78" s="747"/>
      <c r="P78" s="41">
        <f>P30</f>
        <v>0</v>
      </c>
      <c r="Q78" s="769" t="s">
        <v>428</v>
      </c>
      <c r="R78" s="770"/>
      <c r="S78" s="770"/>
      <c r="T78" s="760">
        <f>H78</f>
        <v>209892.26</v>
      </c>
      <c r="U78" s="760"/>
    </row>
    <row r="79" spans="1:22" x14ac:dyDescent="0.25">
      <c r="B79" s="69"/>
      <c r="G79" s="42" t="s">
        <v>12</v>
      </c>
      <c r="H79" s="114">
        <f>ROUND(C78/H78,6)</f>
        <v>3.3319999999999999E-3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699.38</v>
      </c>
      <c r="D81" s="717" t="s">
        <v>434</v>
      </c>
      <c r="E81" s="717"/>
      <c r="F81" s="717"/>
      <c r="G81" s="717"/>
      <c r="H81" s="287">
        <v>187328.76</v>
      </c>
      <c r="I81" s="113"/>
      <c r="N81" s="746" t="s">
        <v>435</v>
      </c>
      <c r="O81" s="747"/>
      <c r="P81" s="41">
        <f>P30</f>
        <v>0</v>
      </c>
      <c r="Q81" s="767" t="s">
        <v>436</v>
      </c>
      <c r="R81" s="768"/>
      <c r="S81" s="768"/>
      <c r="T81" s="760">
        <f>H81</f>
        <v>187328.76</v>
      </c>
      <c r="U81" s="760"/>
    </row>
    <row r="82" spans="1:21" x14ac:dyDescent="0.25">
      <c r="B82" s="69"/>
      <c r="G82" s="42" t="s">
        <v>12</v>
      </c>
      <c r="H82" s="114">
        <f>ROUND(C81/H81,6)</f>
        <v>3.7330000000000002E-3</v>
      </c>
      <c r="I82" s="115"/>
      <c r="N82" s="747"/>
      <c r="O82" s="747"/>
      <c r="P82" s="747"/>
      <c r="Q82" s="747"/>
      <c r="R82" s="747"/>
      <c r="S82" s="747"/>
      <c r="T82" s="765">
        <f>ROUND(P81/T81,6)</f>
        <v>0</v>
      </c>
      <c r="U82" s="765"/>
    </row>
    <row r="83" spans="1:21" x14ac:dyDescent="0.25">
      <c r="A83" s="241"/>
      <c r="G83" s="42"/>
      <c r="H83" s="114"/>
      <c r="I83" s="114"/>
      <c r="N83" s="465"/>
      <c r="O83" s="465"/>
      <c r="P83" s="465"/>
      <c r="Q83" s="465"/>
      <c r="R83" s="465"/>
      <c r="S83" s="465"/>
      <c r="T83" s="466"/>
      <c r="U83" s="466"/>
    </row>
    <row r="84" spans="1:21" x14ac:dyDescent="0.25">
      <c r="A84" s="241"/>
      <c r="G84" s="42"/>
      <c r="H84" s="114"/>
      <c r="I84" s="114"/>
      <c r="N84" s="465"/>
      <c r="O84" s="465"/>
      <c r="P84" s="465"/>
      <c r="Q84" s="465"/>
      <c r="R84" s="465"/>
      <c r="S84" s="465"/>
      <c r="T84" s="466"/>
      <c r="U84" s="466"/>
    </row>
    <row r="85" spans="1:21" x14ac:dyDescent="0.25">
      <c r="A85" s="461" t="s">
        <v>471</v>
      </c>
      <c r="D85" s="69"/>
      <c r="E85" s="43" t="s">
        <v>316</v>
      </c>
      <c r="F85" s="289">
        <v>46163704</v>
      </c>
      <c r="G85" s="37" t="s">
        <v>6</v>
      </c>
      <c r="H85" s="441">
        <f>H79</f>
        <v>3.3319999999999999E-3</v>
      </c>
      <c r="I85" s="101">
        <f>ROUND(F85*H85,2)</f>
        <v>153817.46</v>
      </c>
      <c r="N85" s="472" t="s">
        <v>471</v>
      </c>
      <c r="O85" s="51"/>
      <c r="P85" s="51"/>
      <c r="Q85" s="44"/>
      <c r="R85" s="438">
        <f>F85</f>
        <v>46163704</v>
      </c>
      <c r="S85" s="38" t="s">
        <v>6</v>
      </c>
      <c r="T85" s="440">
        <f>T79</f>
        <v>0</v>
      </c>
      <c r="U85" s="492">
        <f>ROUND(R85*T85,2)</f>
        <v>0</v>
      </c>
    </row>
    <row r="86" spans="1:21" x14ac:dyDescent="0.25">
      <c r="A86" s="418"/>
      <c r="D86" s="69"/>
      <c r="E86" s="43"/>
      <c r="F86" s="275"/>
      <c r="G86" s="37"/>
      <c r="H86" s="441"/>
      <c r="I86" s="101"/>
      <c r="N86" s="51"/>
      <c r="O86" s="51"/>
      <c r="P86" s="51"/>
      <c r="Q86" s="44"/>
      <c r="R86" s="439"/>
      <c r="S86" s="38"/>
      <c r="T86" s="440"/>
      <c r="U86" s="496"/>
    </row>
    <row r="87" spans="1:21" x14ac:dyDescent="0.25">
      <c r="A87" s="719" t="s">
        <v>71</v>
      </c>
      <c r="B87" s="705"/>
      <c r="C87" s="705"/>
      <c r="D87" s="69"/>
      <c r="E87" s="43"/>
      <c r="F87" s="275"/>
      <c r="G87" s="37"/>
      <c r="H87" s="441"/>
      <c r="I87" s="101"/>
      <c r="N87" s="746" t="s">
        <v>479</v>
      </c>
      <c r="O87" s="747"/>
      <c r="P87" s="747"/>
      <c r="Q87" s="51"/>
      <c r="R87" s="439"/>
      <c r="S87" s="51"/>
      <c r="T87" s="38"/>
      <c r="U87" s="497"/>
    </row>
    <row r="88" spans="1:21" x14ac:dyDescent="0.25">
      <c r="A88" s="719" t="s">
        <v>99</v>
      </c>
      <c r="B88" s="705"/>
      <c r="C88" s="705"/>
      <c r="D88" s="69"/>
      <c r="E88" s="43" t="s">
        <v>3</v>
      </c>
      <c r="F88" s="289">
        <v>0</v>
      </c>
      <c r="G88" s="37" t="s">
        <v>6</v>
      </c>
      <c r="H88" s="441">
        <f>H70</f>
        <v>3.3270000000000001E-3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275"/>
      <c r="G89" s="37"/>
      <c r="H89" s="441"/>
      <c r="I89" s="101"/>
      <c r="N89" s="453"/>
      <c r="O89" s="45"/>
      <c r="P89" s="45"/>
      <c r="Q89" s="44"/>
      <c r="R89" s="438"/>
      <c r="S89" s="38"/>
      <c r="T89" s="440"/>
      <c r="U89" s="492"/>
    </row>
    <row r="90" spans="1:21" x14ac:dyDescent="0.25">
      <c r="A90" s="470" t="s">
        <v>472</v>
      </c>
      <c r="D90" s="69"/>
      <c r="E90" s="43" t="s">
        <v>437</v>
      </c>
      <c r="F90" s="289">
        <v>19042026</v>
      </c>
      <c r="G90" s="37" t="s">
        <v>6</v>
      </c>
      <c r="H90" s="441">
        <f>H82</f>
        <v>3.7330000000000002E-3</v>
      </c>
      <c r="I90" s="101">
        <f>ROUND(F90*H90,2)</f>
        <v>71083.88</v>
      </c>
      <c r="N90" s="472" t="s">
        <v>472</v>
      </c>
      <c r="O90" s="51"/>
      <c r="P90" s="51"/>
      <c r="Q90" s="44"/>
      <c r="R90" s="438">
        <f>F90</f>
        <v>19042026</v>
      </c>
      <c r="S90" s="38" t="s">
        <v>6</v>
      </c>
      <c r="T90" s="440">
        <f>T82</f>
        <v>0</v>
      </c>
      <c r="U90" s="492">
        <f>ROUND(R90*T90,2)</f>
        <v>0</v>
      </c>
    </row>
    <row r="91" spans="1:21" x14ac:dyDescent="0.25">
      <c r="A91" s="418"/>
      <c r="D91" s="69"/>
      <c r="E91" s="43"/>
      <c r="F91" s="275"/>
      <c r="G91" s="37"/>
      <c r="H91" s="441"/>
      <c r="I91" s="101"/>
      <c r="N91" s="426"/>
      <c r="O91" s="51"/>
      <c r="P91" s="51"/>
      <c r="Q91" s="44"/>
      <c r="R91" s="438"/>
      <c r="S91" s="38"/>
      <c r="T91" s="440"/>
      <c r="U91" s="492"/>
    </row>
    <row r="92" spans="1:21" x14ac:dyDescent="0.25">
      <c r="A92" s="470" t="s">
        <v>473</v>
      </c>
      <c r="D92" s="69"/>
      <c r="E92" s="43" t="s">
        <v>3</v>
      </c>
      <c r="F92" s="289">
        <v>11441151</v>
      </c>
      <c r="G92" s="37" t="s">
        <v>6</v>
      </c>
      <c r="H92" s="441">
        <f>H76</f>
        <v>3.7269999999999998E-3</v>
      </c>
      <c r="I92" s="101">
        <f t="shared" ref="I92:I98" si="14">ROUND(F92*H92,2)</f>
        <v>42641.17</v>
      </c>
      <c r="N92" s="472" t="s">
        <v>473</v>
      </c>
      <c r="O92" s="51"/>
      <c r="P92" s="51"/>
      <c r="Q92" s="44"/>
      <c r="R92" s="438">
        <f t="shared" ref="R92:R96" si="15">F92</f>
        <v>11441151</v>
      </c>
      <c r="S92" s="38" t="s">
        <v>6</v>
      </c>
      <c r="T92" s="440">
        <f>T76</f>
        <v>0</v>
      </c>
      <c r="U92" s="492">
        <f>ROUND(R92*T92,2)</f>
        <v>0</v>
      </c>
    </row>
    <row r="93" spans="1:21" x14ac:dyDescent="0.25">
      <c r="A93" s="81"/>
      <c r="D93" s="69"/>
      <c r="E93" s="43"/>
      <c r="F93" s="275"/>
      <c r="G93" s="37"/>
      <c r="H93" s="441"/>
      <c r="I93" s="101"/>
      <c r="N93" s="402"/>
      <c r="O93" s="51"/>
      <c r="P93" s="51"/>
      <c r="Q93" s="44"/>
      <c r="R93" s="439"/>
      <c r="S93" s="38"/>
      <c r="T93" s="440"/>
      <c r="U93" s="496"/>
    </row>
    <row r="94" spans="1:21" x14ac:dyDescent="0.25">
      <c r="A94" s="704" t="s">
        <v>438</v>
      </c>
      <c r="B94" s="705"/>
      <c r="C94" s="705"/>
      <c r="D94" s="69"/>
      <c r="E94" s="43" t="s">
        <v>4</v>
      </c>
      <c r="F94" s="289">
        <v>255756816</v>
      </c>
      <c r="G94" s="37" t="s">
        <v>6</v>
      </c>
      <c r="H94" s="441">
        <f>H73</f>
        <v>2.9859999999999999E-3</v>
      </c>
      <c r="I94" s="101">
        <f t="shared" si="14"/>
        <v>763689.85</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275"/>
      <c r="G95" s="37"/>
      <c r="H95" s="441"/>
      <c r="I95" s="101"/>
      <c r="N95" s="45"/>
      <c r="O95" s="45"/>
      <c r="P95" s="45"/>
      <c r="Q95" s="44"/>
      <c r="R95" s="438"/>
      <c r="S95" s="38"/>
      <c r="T95" s="440"/>
      <c r="U95" s="492"/>
    </row>
    <row r="96" spans="1:21" x14ac:dyDescent="0.25">
      <c r="A96" s="704" t="s">
        <v>439</v>
      </c>
      <c r="B96" s="705"/>
      <c r="C96" s="705"/>
      <c r="D96" s="69"/>
      <c r="E96" s="43" t="s">
        <v>4</v>
      </c>
      <c r="F96" s="289">
        <v>-1585559</v>
      </c>
      <c r="G96" s="37" t="s">
        <v>6</v>
      </c>
      <c r="H96" s="441">
        <f>H73</f>
        <v>2.9859999999999999E-3</v>
      </c>
      <c r="I96" s="101">
        <f t="shared" si="14"/>
        <v>-4734.4799999999996</v>
      </c>
      <c r="N96" s="746" t="s">
        <v>439</v>
      </c>
      <c r="O96" s="746"/>
      <c r="P96" s="746"/>
      <c r="Q96" s="44"/>
      <c r="R96" s="438">
        <f t="shared" si="15"/>
        <v>-1585559</v>
      </c>
      <c r="S96" s="38" t="s">
        <v>6</v>
      </c>
      <c r="T96" s="440">
        <f>T73</f>
        <v>0</v>
      </c>
      <c r="U96" s="492">
        <f>ROUND(R96*T96,2)</f>
        <v>0</v>
      </c>
    </row>
    <row r="97" spans="1:21" x14ac:dyDescent="0.25">
      <c r="A97" s="548"/>
      <c r="B97" s="547"/>
      <c r="C97" s="547"/>
      <c r="D97" s="547"/>
      <c r="E97" s="545"/>
      <c r="F97" s="275"/>
      <c r="G97" s="546"/>
      <c r="H97" s="441"/>
      <c r="I97" s="101"/>
      <c r="N97" s="551"/>
      <c r="O97" s="551"/>
      <c r="P97" s="551"/>
      <c r="Q97" s="44"/>
      <c r="R97" s="553"/>
      <c r="S97" s="552"/>
      <c r="T97" s="440"/>
      <c r="U97" s="496"/>
    </row>
    <row r="98" spans="1:21" x14ac:dyDescent="0.25">
      <c r="A98" s="548" t="s">
        <v>513</v>
      </c>
      <c r="B98" s="547"/>
      <c r="C98" s="547"/>
      <c r="D98" s="547"/>
      <c r="E98" s="545" t="s">
        <v>3</v>
      </c>
      <c r="F98" s="289">
        <v>0</v>
      </c>
      <c r="G98" s="546" t="s">
        <v>6</v>
      </c>
      <c r="H98" s="441">
        <f>H70</f>
        <v>3.3270000000000001E-3</v>
      </c>
      <c r="I98" s="101">
        <f t="shared" si="14"/>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81"/>
      <c r="B100" s="69"/>
      <c r="C100" s="69"/>
      <c r="D100" s="69"/>
      <c r="E100" s="43"/>
      <c r="F100" s="275"/>
      <c r="G100" s="37"/>
      <c r="H100" s="441"/>
      <c r="I100" s="101"/>
      <c r="N100" s="402"/>
      <c r="O100" s="402"/>
      <c r="P100" s="402"/>
      <c r="Q100" s="44"/>
      <c r="R100" s="439"/>
      <c r="S100" s="38"/>
      <c r="T100" s="440"/>
      <c r="U100" s="103"/>
    </row>
    <row r="101" spans="1:21" ht="15" customHeight="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119" t="s">
        <v>441</v>
      </c>
      <c r="F103" s="120" t="s">
        <v>106</v>
      </c>
      <c r="G103" s="121"/>
      <c r="H103" s="121"/>
      <c r="I103" s="121"/>
      <c r="N103" s="762" t="s">
        <v>35</v>
      </c>
      <c r="O103" s="762"/>
      <c r="P103" s="763" t="s">
        <v>443</v>
      </c>
      <c r="Q103" s="764"/>
      <c r="R103" s="760" t="s">
        <v>31</v>
      </c>
      <c r="S103" s="760"/>
      <c r="T103" s="760"/>
      <c r="U103" s="760"/>
    </row>
    <row r="104" spans="1:21" x14ac:dyDescent="0.25">
      <c r="A104" s="26"/>
      <c r="B104" s="52" t="s">
        <v>105</v>
      </c>
      <c r="C104" s="703">
        <f>H14+H15+H20+H23+H26</f>
        <v>0</v>
      </c>
      <c r="D104" s="703"/>
      <c r="E104" s="46">
        <f>H8</f>
        <v>1.0407999999999999</v>
      </c>
      <c r="F104" s="290">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290">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701.33510000000001</v>
      </c>
      <c r="D106" s="703"/>
      <c r="E106" s="46">
        <f>H8</f>
        <v>1.0407999999999999</v>
      </c>
      <c r="F106" s="290">
        <v>910.12</v>
      </c>
      <c r="G106" s="39" t="s">
        <v>12</v>
      </c>
      <c r="H106" s="94">
        <f>ROUND(C106*E106*F106,2)</f>
        <v>664341.69999999995</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701.33510000000001</v>
      </c>
      <c r="D107" s="716"/>
      <c r="E107" s="123"/>
      <c r="F107" s="123"/>
      <c r="G107" s="123"/>
      <c r="H107" s="124" t="s">
        <v>100</v>
      </c>
      <c r="I107" s="101">
        <f>IF(A1=75,0,H106+H105+H104)</f>
        <v>664341.69999999995</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43"/>
      <c r="D110" s="69"/>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17" t="s">
        <v>399</v>
      </c>
      <c r="B113" s="738"/>
      <c r="C113" s="143">
        <v>474</v>
      </c>
      <c r="D113" s="143">
        <v>457</v>
      </c>
      <c r="E113" s="116">
        <f>(C113+D113)/2</f>
        <v>465.5</v>
      </c>
      <c r="F113" s="126" t="s">
        <v>30</v>
      </c>
      <c r="G113" s="291">
        <v>567</v>
      </c>
      <c r="I113" s="101">
        <f>ROUND(G113*E113,2)</f>
        <v>263938.5</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291">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516</v>
      </c>
      <c r="B117" s="705"/>
      <c r="C117" s="705"/>
      <c r="D117" s="69"/>
      <c r="E117" s="39" t="s">
        <v>317</v>
      </c>
      <c r="F117" s="714"/>
      <c r="G117" s="714"/>
      <c r="H117" s="714"/>
      <c r="I117" s="714"/>
      <c r="N117" s="746" t="s">
        <v>517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5927404.8899999987</v>
      </c>
      <c r="J128" s="250"/>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J129" s="250"/>
      <c r="N129" s="472"/>
      <c r="O129" s="471"/>
      <c r="P129" s="471"/>
      <c r="Q129" s="305"/>
      <c r="R129" s="305"/>
      <c r="S129" s="305"/>
      <c r="T129" s="305"/>
      <c r="U129" s="103"/>
    </row>
    <row r="130" spans="1:21" ht="16.5" thickBot="1" x14ac:dyDescent="0.3">
      <c r="A130" s="548" t="s">
        <v>450</v>
      </c>
      <c r="B130" s="26"/>
      <c r="C130" s="26"/>
      <c r="D130" s="26"/>
      <c r="E130" s="26"/>
      <c r="F130" s="26"/>
      <c r="G130" s="26"/>
      <c r="H130" s="26"/>
      <c r="I130" s="101">
        <f>I128-I53</f>
        <v>5637801.0299999984</v>
      </c>
      <c r="J130" s="250"/>
      <c r="N130" s="747" t="s">
        <v>450</v>
      </c>
      <c r="O130" s="747"/>
      <c r="P130" s="747"/>
      <c r="Q130" s="747"/>
      <c r="R130" s="747"/>
      <c r="S130" s="747"/>
      <c r="T130" s="747"/>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04" t="s">
        <v>518</v>
      </c>
      <c r="B132" s="705"/>
      <c r="C132" s="705"/>
      <c r="D132" s="705"/>
      <c r="E132" s="705"/>
      <c r="F132" s="705"/>
      <c r="G132" s="705"/>
      <c r="H132" s="81" t="s">
        <v>351</v>
      </c>
      <c r="I132" s="134"/>
      <c r="J132" s="250"/>
      <c r="N132" s="746" t="s">
        <v>519</v>
      </c>
      <c r="O132" s="747"/>
      <c r="P132" s="747"/>
      <c r="Q132" s="747"/>
      <c r="R132" s="747"/>
      <c r="S132" s="747"/>
      <c r="T132" s="747"/>
      <c r="U132" s="138"/>
    </row>
    <row r="133" spans="1:21" x14ac:dyDescent="0.25">
      <c r="A133" s="705" t="s">
        <v>70</v>
      </c>
      <c r="B133" s="705"/>
      <c r="C133" s="705"/>
      <c r="D133" s="705"/>
      <c r="E133" s="705"/>
      <c r="F133" s="705"/>
      <c r="G133" s="705"/>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5637801.0299999984</v>
      </c>
      <c r="I135" s="94">
        <f>ROUND(IF(E30=0,0,IF(E30&gt;250,-(((250/E30)*H135)*IF(G135="H",0.02,0.05)),IF(G135="H",-0.02*H135,-0.05*H135))),2)</f>
        <v>-40305.71</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5887099.1799999988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-2722484.53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3164614.649999999</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452087.81</v>
      </c>
      <c r="K145" s="437"/>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72450.31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390</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391</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392</v>
      </c>
      <c r="B155" s="360"/>
      <c r="C155" s="360"/>
      <c r="D155" s="360"/>
      <c r="E155" s="360"/>
      <c r="F155" s="360"/>
      <c r="G155" s="360"/>
      <c r="H155" s="360"/>
      <c r="I155" s="360"/>
      <c r="N155" s="745"/>
      <c r="O155" s="745"/>
      <c r="P155" s="745"/>
      <c r="Q155" s="745"/>
      <c r="R155" s="745"/>
      <c r="S155" s="745"/>
      <c r="T155" s="745"/>
      <c r="U155" s="745"/>
    </row>
    <row r="156" spans="1:21" s="76" customFormat="1" ht="12.75" customHeight="1" x14ac:dyDescent="0.2">
      <c r="A156" s="361" t="s">
        <v>393</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394</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395</v>
      </c>
      <c r="B158" s="360"/>
      <c r="C158" s="360"/>
      <c r="D158" s="360"/>
      <c r="E158" s="360"/>
      <c r="F158" s="360"/>
      <c r="G158" s="360"/>
      <c r="H158" s="360"/>
      <c r="I158" s="360"/>
      <c r="N158" s="78"/>
    </row>
    <row r="159" spans="1:21" s="76" customFormat="1" ht="12.75" customHeight="1" x14ac:dyDescent="0.2">
      <c r="A159" s="361" t="s">
        <v>397</v>
      </c>
      <c r="B159" s="360"/>
      <c r="C159" s="360"/>
      <c r="D159" s="360"/>
      <c r="E159" s="360"/>
      <c r="F159" s="360"/>
      <c r="G159" s="360"/>
      <c r="H159" s="360"/>
      <c r="I159" s="360"/>
      <c r="K159" s="360"/>
      <c r="N159" s="78"/>
    </row>
    <row r="160" spans="1:21" s="76" customFormat="1" ht="12.75" customHeight="1" x14ac:dyDescent="0.2">
      <c r="A160" s="366" t="s">
        <v>396</v>
      </c>
      <c r="B160" s="360"/>
      <c r="C160" s="360"/>
      <c r="D160" s="360"/>
      <c r="E160" s="360"/>
      <c r="F160" s="360"/>
      <c r="G160" s="360"/>
      <c r="H160" s="360"/>
      <c r="I160" s="360"/>
      <c r="N160" s="78"/>
    </row>
    <row r="161" spans="1:14" s="76" customFormat="1" ht="12.75" customHeight="1" x14ac:dyDescent="0.2">
      <c r="A161" s="361" t="s">
        <v>398</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401</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403</v>
      </c>
      <c r="B165" s="360"/>
      <c r="C165" s="360"/>
      <c r="D165" s="360"/>
      <c r="E165" s="360"/>
      <c r="F165" s="360"/>
      <c r="G165" s="360"/>
      <c r="H165" s="360"/>
      <c r="I165" s="360"/>
      <c r="N165" s="78"/>
    </row>
    <row r="166" spans="1:14" s="76" customFormat="1" ht="12.75" customHeight="1" x14ac:dyDescent="0.2">
      <c r="A166" s="366" t="s">
        <v>402</v>
      </c>
      <c r="B166" s="360"/>
      <c r="C166" s="360"/>
      <c r="D166" s="360"/>
      <c r="E166" s="360"/>
      <c r="F166" s="360"/>
      <c r="G166" s="360"/>
      <c r="H166" s="360"/>
      <c r="I166" s="360"/>
      <c r="N166" s="78"/>
    </row>
    <row r="167" spans="1:14" s="76" customFormat="1" ht="12.75" customHeight="1" x14ac:dyDescent="0.2">
      <c r="A167" s="361" t="s">
        <v>404</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406</v>
      </c>
      <c r="B169" s="360"/>
      <c r="C169" s="360"/>
      <c r="D169" s="360"/>
      <c r="E169" s="360"/>
      <c r="F169" s="360"/>
      <c r="G169" s="360"/>
      <c r="H169" s="360"/>
      <c r="I169" s="360"/>
      <c r="N169" s="78"/>
    </row>
    <row r="170" spans="1:14" s="76" customFormat="1" ht="12.75" customHeight="1" x14ac:dyDescent="0.2">
      <c r="A170" s="366" t="s">
        <v>405</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407</v>
      </c>
      <c r="B175" s="370"/>
      <c r="C175" s="370"/>
      <c r="D175" s="370"/>
      <c r="E175" s="370"/>
      <c r="F175" s="370"/>
      <c r="G175" s="370"/>
      <c r="H175" s="370"/>
      <c r="I175" s="370"/>
      <c r="N175" s="78"/>
    </row>
    <row r="176" spans="1:14" s="76" customFormat="1" ht="12.75" customHeight="1" x14ac:dyDescent="0.2">
      <c r="A176" s="367" t="s">
        <v>408</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s>
  <phoneticPr fontId="8"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CCC"/>
  </sheetPr>
  <dimension ref="A1:V221"/>
  <sheetViews>
    <sheetView topLeftCell="A25" workbookViewId="0">
      <selection activeCell="D65" sqref="D65"/>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28" t="s">
        <v>15</v>
      </c>
      <c r="C1" s="729"/>
      <c r="D1" s="729"/>
      <c r="E1" s="729"/>
      <c r="F1" s="729"/>
      <c r="G1" s="729"/>
      <c r="H1" s="729"/>
      <c r="I1" s="729"/>
      <c r="J1" s="135"/>
      <c r="K1" s="135"/>
      <c r="L1" s="135"/>
      <c r="N1" s="82">
        <f>A1</f>
        <v>50</v>
      </c>
      <c r="O1" s="809" t="s">
        <v>15</v>
      </c>
      <c r="P1" s="810"/>
      <c r="Q1" s="810"/>
      <c r="R1" s="810"/>
      <c r="S1" s="810"/>
      <c r="T1" s="810"/>
      <c r="U1" s="810"/>
    </row>
    <row r="2" spans="1:21" ht="21" x14ac:dyDescent="0.35">
      <c r="A2" s="1" t="s">
        <v>110</v>
      </c>
      <c r="B2" s="2"/>
      <c r="C2" s="2"/>
      <c r="D2" s="2"/>
      <c r="E2" s="2"/>
      <c r="F2" s="2"/>
      <c r="G2" s="2"/>
      <c r="H2" s="2"/>
      <c r="I2" s="2"/>
      <c r="N2" s="811" t="s">
        <v>18</v>
      </c>
      <c r="O2" s="811"/>
      <c r="P2" s="811"/>
      <c r="Q2" s="811"/>
      <c r="R2" s="811"/>
      <c r="S2" s="811"/>
      <c r="T2" s="811"/>
      <c r="U2" s="811"/>
    </row>
    <row r="3" spans="1:21" x14ac:dyDescent="0.25">
      <c r="A3" s="81" t="str">
        <f>'1461'!A3</f>
        <v>Based on the FLDOE 2024-25 Second Calculation</v>
      </c>
      <c r="N3" s="751" t="str">
        <f>A3</f>
        <v>Based on the FLDOE 2024-25 Second Calculation</v>
      </c>
      <c r="O3" s="751"/>
      <c r="P3" s="751"/>
      <c r="Q3" s="751"/>
      <c r="R3" s="751"/>
      <c r="S3" s="751"/>
      <c r="T3" s="751"/>
      <c r="U3" s="751"/>
    </row>
    <row r="4" spans="1:21" x14ac:dyDescent="0.25">
      <c r="A4" s="730" t="s">
        <v>0</v>
      </c>
      <c r="B4" s="730"/>
      <c r="C4" s="731" t="s">
        <v>9</v>
      </c>
      <c r="D4" s="731"/>
      <c r="E4" s="731"/>
      <c r="F4" s="4" t="str">
        <f>'1461'!F4</f>
        <v>December 2024</v>
      </c>
      <c r="G4" s="4"/>
      <c r="H4" s="4"/>
      <c r="I4" s="4"/>
      <c r="N4" s="803" t="s">
        <v>0</v>
      </c>
      <c r="O4" s="803"/>
      <c r="P4" s="812" t="str">
        <f>C4</f>
        <v>Palm Beach</v>
      </c>
      <c r="Q4" s="812"/>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32" t="s">
        <v>449</v>
      </c>
      <c r="B7" s="802"/>
      <c r="C7" s="802"/>
      <c r="D7" s="802"/>
      <c r="E7" s="802"/>
      <c r="F7" s="802"/>
      <c r="G7" s="802"/>
      <c r="H7" s="802"/>
      <c r="I7" s="802"/>
      <c r="N7" s="803" t="str">
        <f>A7</f>
        <v>1A.   2023-24 FEFP State and Local Funding</v>
      </c>
      <c r="O7" s="803"/>
      <c r="P7" s="803"/>
      <c r="Q7" s="803"/>
      <c r="R7" s="803"/>
      <c r="S7" s="803"/>
      <c r="T7" s="803"/>
      <c r="U7" s="803"/>
    </row>
    <row r="8" spans="1:21" x14ac:dyDescent="0.25">
      <c r="A8" s="84"/>
      <c r="B8" s="85" t="s">
        <v>92</v>
      </c>
      <c r="C8" s="298">
        <f>'1461'!C8</f>
        <v>5330.98</v>
      </c>
      <c r="D8" s="86"/>
      <c r="E8" s="87"/>
      <c r="F8" s="84"/>
      <c r="G8" s="85" t="s">
        <v>411</v>
      </c>
      <c r="H8" s="286">
        <f>'1461'!H8</f>
        <v>1.0407999999999999</v>
      </c>
      <c r="I8" s="75"/>
      <c r="N8" s="804" t="s">
        <v>10</v>
      </c>
      <c r="O8" s="804"/>
      <c r="P8" s="805">
        <f>C8</f>
        <v>5330.98</v>
      </c>
      <c r="Q8" s="805"/>
      <c r="R8" s="806" t="s">
        <v>412</v>
      </c>
      <c r="S8" s="807"/>
      <c r="T8" s="808">
        <f>H8</f>
        <v>1.0407999999999999</v>
      </c>
      <c r="U8" s="808"/>
    </row>
    <row r="9" spans="1:21" x14ac:dyDescent="0.25">
      <c r="A9" s="84"/>
      <c r="B9" s="85"/>
      <c r="C9" s="221"/>
      <c r="D9" s="86"/>
      <c r="E9" s="87"/>
      <c r="F9" s="84"/>
      <c r="G9" s="85" t="s">
        <v>409</v>
      </c>
      <c r="H9" s="286">
        <f>'1461'!H9</f>
        <v>1</v>
      </c>
      <c r="I9" s="75"/>
      <c r="N9" s="12"/>
      <c r="O9" s="12"/>
      <c r="P9" s="13"/>
      <c r="Q9" s="13"/>
      <c r="R9" s="406" t="s">
        <v>410</v>
      </c>
      <c r="S9" s="403"/>
      <c r="T9" s="808">
        <f>H9</f>
        <v>1</v>
      </c>
      <c r="U9" s="808"/>
    </row>
    <row r="10" spans="1:21" x14ac:dyDescent="0.25">
      <c r="A10" s="7"/>
      <c r="B10" s="42" t="s">
        <v>328</v>
      </c>
      <c r="C10" s="475"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33" t="s">
        <v>1</v>
      </c>
      <c r="G11" s="733"/>
      <c r="H11" s="10" t="s">
        <v>60</v>
      </c>
      <c r="I11" s="11" t="s">
        <v>27</v>
      </c>
      <c r="N11" s="12"/>
      <c r="O11" s="12"/>
      <c r="P11" s="13"/>
      <c r="Q11" s="13"/>
      <c r="R11" s="799" t="s">
        <v>1</v>
      </c>
      <c r="S11" s="799"/>
      <c r="T11" s="15" t="s">
        <v>60</v>
      </c>
      <c r="U11" s="16" t="s">
        <v>27</v>
      </c>
    </row>
    <row r="12" spans="1:21" ht="15.75" customHeight="1" x14ac:dyDescent="0.25">
      <c r="A12" s="725" t="s">
        <v>1</v>
      </c>
      <c r="B12" s="725"/>
      <c r="C12" s="340" t="str">
        <f>'1461'!C12</f>
        <v>FTE</v>
      </c>
      <c r="D12" s="340" t="str">
        <f>'1461'!D12</f>
        <v>FTE</v>
      </c>
      <c r="E12" s="340" t="s">
        <v>2</v>
      </c>
      <c r="F12" s="734" t="s">
        <v>63</v>
      </c>
      <c r="G12" s="734"/>
      <c r="H12" s="17" t="s">
        <v>59</v>
      </c>
      <c r="I12" s="407" t="s">
        <v>413</v>
      </c>
      <c r="N12" s="785" t="s">
        <v>1</v>
      </c>
      <c r="O12" s="785"/>
      <c r="P12" s="800" t="s">
        <v>19</v>
      </c>
      <c r="Q12" s="800"/>
      <c r="R12" s="801" t="s">
        <v>63</v>
      </c>
      <c r="S12" s="801"/>
      <c r="T12" s="18" t="s">
        <v>59</v>
      </c>
      <c r="U12" s="19" t="str">
        <f>I12</f>
        <v>(WFTE x BSA x CWF x SDF)</v>
      </c>
    </row>
    <row r="13" spans="1:21" x14ac:dyDescent="0.25">
      <c r="A13" s="735" t="s">
        <v>36</v>
      </c>
      <c r="B13" s="735"/>
      <c r="C13" s="91"/>
      <c r="D13" s="91"/>
      <c r="E13" s="92" t="s">
        <v>37</v>
      </c>
      <c r="F13" s="736" t="s">
        <v>38</v>
      </c>
      <c r="G13" s="736"/>
      <c r="H13" s="20" t="s">
        <v>39</v>
      </c>
      <c r="I13" s="21" t="s">
        <v>40</v>
      </c>
      <c r="N13" s="794" t="s">
        <v>36</v>
      </c>
      <c r="O13" s="794"/>
      <c r="P13" s="795" t="s">
        <v>37</v>
      </c>
      <c r="Q13" s="795"/>
      <c r="R13" s="796" t="s">
        <v>38</v>
      </c>
      <c r="S13" s="796"/>
      <c r="T13" s="22" t="s">
        <v>39</v>
      </c>
      <c r="U13" s="23" t="s">
        <v>40</v>
      </c>
    </row>
    <row r="14" spans="1:21" x14ac:dyDescent="0.25">
      <c r="A14" s="726" t="s">
        <v>20</v>
      </c>
      <c r="B14" s="726"/>
      <c r="C14" s="143">
        <v>0</v>
      </c>
      <c r="D14" s="141">
        <v>0</v>
      </c>
      <c r="E14" s="187">
        <f>IF(D$30=0,C14*2,C14+D14)</f>
        <v>0</v>
      </c>
      <c r="F14" s="797">
        <f>'1461'!F14:G14</f>
        <v>1.1180000000000001</v>
      </c>
      <c r="G14" s="797"/>
      <c r="H14" s="145">
        <f>ROUND(E14*F14,4)</f>
        <v>0</v>
      </c>
      <c r="I14" s="111">
        <f>ROUND(ROUND(ROUND(H14*$C$8,4)*($H$8),2)*(MAX($H$9,1)),2)</f>
        <v>0</v>
      </c>
      <c r="N14" s="787" t="s">
        <v>20</v>
      </c>
      <c r="O14" s="787"/>
      <c r="P14" s="789">
        <f t="shared" ref="P14:P29" si="0">IF($H$133=1,E14,0)</f>
        <v>0</v>
      </c>
      <c r="Q14" s="789"/>
      <c r="R14" s="798">
        <v>1</v>
      </c>
      <c r="S14" s="798"/>
      <c r="T14" s="95">
        <f>ROUND(P14*R14,4)</f>
        <v>0</v>
      </c>
      <c r="U14" s="492">
        <f>ROUND(ROUND(ROUND(T14*$C$8,4)*($H$8),2)*(MAX($H$9,1)),2)</f>
        <v>0</v>
      </c>
    </row>
    <row r="15" spans="1:21" x14ac:dyDescent="0.25">
      <c r="A15" s="705" t="s">
        <v>21</v>
      </c>
      <c r="B15" s="705"/>
      <c r="C15" s="143">
        <v>0</v>
      </c>
      <c r="D15" s="143">
        <v>0</v>
      </c>
      <c r="E15" s="116">
        <f t="shared" ref="E15:E29" si="1">IF(D$30=0,C15*2,C15+D15)</f>
        <v>0</v>
      </c>
      <c r="F15" s="788">
        <f>'1461'!F15:G15</f>
        <v>1.1180000000000001</v>
      </c>
      <c r="G15" s="788"/>
      <c r="H15" s="80">
        <f t="shared" ref="H15:H29" si="2">ROUND(E15*F15,4)</f>
        <v>0</v>
      </c>
      <c r="I15" s="101">
        <f t="shared" ref="I15:I29" si="3">ROUND(ROUND(ROUND(H15*$C$8,4)*($H$8),2)*(MAX($H$9,1)),2)</f>
        <v>0</v>
      </c>
      <c r="J15" s="65" t="str">
        <f>IF(ROUND(E15,2)=ROUND(SUM(E57:E59),2)," ","CHECK PK-3 LINES BELOW")</f>
        <v xml:space="preserve"> </v>
      </c>
      <c r="N15" s="747" t="s">
        <v>21</v>
      </c>
      <c r="O15" s="747"/>
      <c r="P15" s="789">
        <f t="shared" si="0"/>
        <v>0</v>
      </c>
      <c r="Q15" s="789"/>
      <c r="R15" s="793">
        <v>1</v>
      </c>
      <c r="S15" s="793"/>
      <c r="T15" s="95">
        <f t="shared" ref="T15:T29" si="4">ROUND(P15*R15,4)</f>
        <v>0</v>
      </c>
      <c r="U15" s="492">
        <f t="shared" ref="U15:U29" si="5">ROUND(ROUND(ROUND(T15*$C$8,4)*($H$8),2)*(MAX($H$9,1)),2)</f>
        <v>0</v>
      </c>
    </row>
    <row r="16" spans="1:21" x14ac:dyDescent="0.25">
      <c r="A16" s="705" t="s">
        <v>22</v>
      </c>
      <c r="B16" s="705"/>
      <c r="C16" s="143">
        <v>0</v>
      </c>
      <c r="D16" s="143">
        <v>0</v>
      </c>
      <c r="E16" s="116">
        <f t="shared" si="1"/>
        <v>0</v>
      </c>
      <c r="F16" s="788">
        <f>'1461'!F16:G16</f>
        <v>1</v>
      </c>
      <c r="G16" s="788"/>
      <c r="H16" s="80">
        <f t="shared" si="2"/>
        <v>0</v>
      </c>
      <c r="I16" s="101">
        <f t="shared" si="3"/>
        <v>0</v>
      </c>
      <c r="N16" s="747" t="s">
        <v>22</v>
      </c>
      <c r="O16" s="747"/>
      <c r="P16" s="789">
        <f t="shared" si="0"/>
        <v>0</v>
      </c>
      <c r="Q16" s="789"/>
      <c r="R16" s="793">
        <v>1</v>
      </c>
      <c r="S16" s="793"/>
      <c r="T16" s="95">
        <f t="shared" si="4"/>
        <v>0</v>
      </c>
      <c r="U16" s="492">
        <f t="shared" si="5"/>
        <v>0</v>
      </c>
    </row>
    <row r="17" spans="1:21" x14ac:dyDescent="0.25">
      <c r="A17" s="705" t="s">
        <v>23</v>
      </c>
      <c r="B17" s="705"/>
      <c r="C17" s="143">
        <v>0</v>
      </c>
      <c r="D17" s="143">
        <v>0</v>
      </c>
      <c r="E17" s="116">
        <f t="shared" si="1"/>
        <v>0</v>
      </c>
      <c r="F17" s="788">
        <f>'1461'!F17:G17</f>
        <v>1</v>
      </c>
      <c r="G17" s="788"/>
      <c r="H17" s="80">
        <f t="shared" si="2"/>
        <v>0</v>
      </c>
      <c r="I17" s="101">
        <f t="shared" si="3"/>
        <v>0</v>
      </c>
      <c r="J17" s="65" t="str">
        <f>IF(ROUND(E17,2)=ROUND(SUM(E60:E62),2)," ","CHECK 4-8 LINES BELOW")</f>
        <v xml:space="preserve"> </v>
      </c>
      <c r="N17" s="747" t="s">
        <v>23</v>
      </c>
      <c r="O17" s="747"/>
      <c r="P17" s="789">
        <f t="shared" si="0"/>
        <v>0</v>
      </c>
      <c r="Q17" s="789"/>
      <c r="R17" s="793">
        <v>1</v>
      </c>
      <c r="S17" s="793"/>
      <c r="T17" s="95">
        <f t="shared" si="4"/>
        <v>0</v>
      </c>
      <c r="U17" s="492">
        <f t="shared" si="5"/>
        <v>0</v>
      </c>
    </row>
    <row r="18" spans="1:21" x14ac:dyDescent="0.25">
      <c r="A18" s="705" t="s">
        <v>24</v>
      </c>
      <c r="B18" s="705"/>
      <c r="C18" s="143">
        <v>302.67</v>
      </c>
      <c r="D18" s="143">
        <v>0</v>
      </c>
      <c r="E18" s="116">
        <f t="shared" si="1"/>
        <v>605.34</v>
      </c>
      <c r="F18" s="788">
        <f>'1461'!F18:G18</f>
        <v>0.97799999999999998</v>
      </c>
      <c r="G18" s="788"/>
      <c r="H18" s="80">
        <f t="shared" si="2"/>
        <v>592.02250000000004</v>
      </c>
      <c r="I18" s="101">
        <f t="shared" si="3"/>
        <v>3284827.36</v>
      </c>
      <c r="N18" s="747" t="s">
        <v>24</v>
      </c>
      <c r="O18" s="747"/>
      <c r="P18" s="789">
        <f t="shared" si="0"/>
        <v>0</v>
      </c>
      <c r="Q18" s="789"/>
      <c r="R18" s="793">
        <v>1</v>
      </c>
      <c r="S18" s="793"/>
      <c r="T18" s="95">
        <f t="shared" si="4"/>
        <v>0</v>
      </c>
      <c r="U18" s="492">
        <f t="shared" si="5"/>
        <v>0</v>
      </c>
    </row>
    <row r="19" spans="1:21" x14ac:dyDescent="0.25">
      <c r="A19" s="705" t="s">
        <v>25</v>
      </c>
      <c r="B19" s="705"/>
      <c r="C19" s="143">
        <v>131.19999999999999</v>
      </c>
      <c r="D19" s="143">
        <v>0</v>
      </c>
      <c r="E19" s="116">
        <f t="shared" si="1"/>
        <v>262.39999999999998</v>
      </c>
      <c r="F19" s="788">
        <f>'1461'!F19:G19</f>
        <v>0.97799999999999998</v>
      </c>
      <c r="G19" s="788"/>
      <c r="H19" s="80">
        <f t="shared" si="2"/>
        <v>256.62720000000002</v>
      </c>
      <c r="I19" s="101">
        <f t="shared" si="3"/>
        <v>1423891.91</v>
      </c>
      <c r="J19" s="65" t="str">
        <f>IF(ROUND(E19,2)=ROUND(SUM(E63:E65),2)," ","CHECK 4-8 LINES BELOW")</f>
        <v xml:space="preserve"> </v>
      </c>
      <c r="N19" s="747" t="s">
        <v>25</v>
      </c>
      <c r="O19" s="747"/>
      <c r="P19" s="789">
        <f t="shared" si="0"/>
        <v>0</v>
      </c>
      <c r="Q19" s="789"/>
      <c r="R19" s="793">
        <v>1</v>
      </c>
      <c r="S19" s="793"/>
      <c r="T19" s="95">
        <f t="shared" si="4"/>
        <v>0</v>
      </c>
      <c r="U19" s="491">
        <f t="shared" si="5"/>
        <v>0</v>
      </c>
    </row>
    <row r="20" spans="1:21" x14ac:dyDescent="0.25">
      <c r="A20" s="705" t="s">
        <v>79</v>
      </c>
      <c r="B20" s="705"/>
      <c r="C20" s="143">
        <v>0</v>
      </c>
      <c r="D20" s="143">
        <v>0</v>
      </c>
      <c r="E20" s="116">
        <f t="shared" si="1"/>
        <v>0</v>
      </c>
      <c r="F20" s="788">
        <f>'1461'!F20:G20</f>
        <v>3.6970000000000001</v>
      </c>
      <c r="G20" s="788"/>
      <c r="H20" s="80">
        <f t="shared" si="2"/>
        <v>0</v>
      </c>
      <c r="I20" s="101">
        <f t="shared" si="3"/>
        <v>0</v>
      </c>
      <c r="N20" s="747" t="s">
        <v>79</v>
      </c>
      <c r="O20" s="747"/>
      <c r="P20" s="789">
        <f t="shared" si="0"/>
        <v>0</v>
      </c>
      <c r="Q20" s="789"/>
      <c r="R20" s="793">
        <v>1</v>
      </c>
      <c r="S20" s="793"/>
      <c r="T20" s="95">
        <f t="shared" si="4"/>
        <v>0</v>
      </c>
      <c r="U20" s="492">
        <f t="shared" si="5"/>
        <v>0</v>
      </c>
    </row>
    <row r="21" spans="1:21" x14ac:dyDescent="0.25">
      <c r="A21" s="705" t="s">
        <v>80</v>
      </c>
      <c r="B21" s="705"/>
      <c r="C21" s="143">
        <v>0</v>
      </c>
      <c r="D21" s="143">
        <v>0</v>
      </c>
      <c r="E21" s="116">
        <f t="shared" si="1"/>
        <v>0</v>
      </c>
      <c r="F21" s="788">
        <f>'1461'!F21:G21</f>
        <v>3.6970000000000001</v>
      </c>
      <c r="G21" s="788"/>
      <c r="H21" s="80">
        <f t="shared" si="2"/>
        <v>0</v>
      </c>
      <c r="I21" s="101">
        <f t="shared" si="3"/>
        <v>0</v>
      </c>
      <c r="N21" s="747" t="s">
        <v>80</v>
      </c>
      <c r="O21" s="747"/>
      <c r="P21" s="789">
        <f t="shared" si="0"/>
        <v>0</v>
      </c>
      <c r="Q21" s="789"/>
      <c r="R21" s="793">
        <v>1</v>
      </c>
      <c r="S21" s="793"/>
      <c r="T21" s="95">
        <f t="shared" si="4"/>
        <v>0</v>
      </c>
      <c r="U21" s="492">
        <f t="shared" si="5"/>
        <v>0</v>
      </c>
    </row>
    <row r="22" spans="1:21" x14ac:dyDescent="0.25">
      <c r="A22" s="705" t="s">
        <v>81</v>
      </c>
      <c r="B22" s="705"/>
      <c r="C22" s="143">
        <v>0</v>
      </c>
      <c r="D22" s="143">
        <v>0</v>
      </c>
      <c r="E22" s="116">
        <f t="shared" si="1"/>
        <v>0</v>
      </c>
      <c r="F22" s="788">
        <f>'1461'!F22:G22</f>
        <v>3.6970000000000001</v>
      </c>
      <c r="G22" s="788"/>
      <c r="H22" s="80">
        <f t="shared" si="2"/>
        <v>0</v>
      </c>
      <c r="I22" s="101">
        <f t="shared" si="3"/>
        <v>0</v>
      </c>
      <c r="N22" s="747" t="s">
        <v>81</v>
      </c>
      <c r="O22" s="747"/>
      <c r="P22" s="789">
        <f t="shared" si="0"/>
        <v>0</v>
      </c>
      <c r="Q22" s="789"/>
      <c r="R22" s="793">
        <v>1</v>
      </c>
      <c r="S22" s="793"/>
      <c r="T22" s="95">
        <f t="shared" si="4"/>
        <v>0</v>
      </c>
      <c r="U22" s="492">
        <f t="shared" si="5"/>
        <v>0</v>
      </c>
    </row>
    <row r="23" spans="1:21" x14ac:dyDescent="0.25">
      <c r="A23" s="705" t="s">
        <v>82</v>
      </c>
      <c r="B23" s="705"/>
      <c r="C23" s="143">
        <v>0</v>
      </c>
      <c r="D23" s="143">
        <v>0</v>
      </c>
      <c r="E23" s="116">
        <f t="shared" si="1"/>
        <v>0</v>
      </c>
      <c r="F23" s="788">
        <f>'1461'!F23:G23</f>
        <v>5.992</v>
      </c>
      <c r="G23" s="788"/>
      <c r="H23" s="80">
        <f t="shared" si="2"/>
        <v>0</v>
      </c>
      <c r="I23" s="101">
        <f t="shared" si="3"/>
        <v>0</v>
      </c>
      <c r="N23" s="747" t="s">
        <v>82</v>
      </c>
      <c r="O23" s="747"/>
      <c r="P23" s="789">
        <f t="shared" si="0"/>
        <v>0</v>
      </c>
      <c r="Q23" s="789"/>
      <c r="R23" s="793">
        <v>1</v>
      </c>
      <c r="S23" s="793"/>
      <c r="T23" s="95">
        <f t="shared" si="4"/>
        <v>0</v>
      </c>
      <c r="U23" s="492">
        <f t="shared" si="5"/>
        <v>0</v>
      </c>
    </row>
    <row r="24" spans="1:21" x14ac:dyDescent="0.25">
      <c r="A24" s="705" t="s">
        <v>83</v>
      </c>
      <c r="B24" s="705"/>
      <c r="C24" s="143">
        <v>0</v>
      </c>
      <c r="D24" s="143">
        <v>0</v>
      </c>
      <c r="E24" s="116">
        <f t="shared" si="1"/>
        <v>0</v>
      </c>
      <c r="F24" s="788">
        <f>'1461'!F24:G24</f>
        <v>5.992</v>
      </c>
      <c r="G24" s="788"/>
      <c r="H24" s="80">
        <f t="shared" si="2"/>
        <v>0</v>
      </c>
      <c r="I24" s="101">
        <f t="shared" si="3"/>
        <v>0</v>
      </c>
      <c r="N24" s="747" t="s">
        <v>83</v>
      </c>
      <c r="O24" s="747"/>
      <c r="P24" s="789">
        <f t="shared" si="0"/>
        <v>0</v>
      </c>
      <c r="Q24" s="789"/>
      <c r="R24" s="793">
        <v>1</v>
      </c>
      <c r="S24" s="793"/>
      <c r="T24" s="95">
        <f t="shared" si="4"/>
        <v>0</v>
      </c>
      <c r="U24" s="492">
        <f t="shared" si="5"/>
        <v>0</v>
      </c>
    </row>
    <row r="25" spans="1:21" x14ac:dyDescent="0.25">
      <c r="A25" s="705" t="s">
        <v>84</v>
      </c>
      <c r="B25" s="705"/>
      <c r="C25" s="143">
        <v>0</v>
      </c>
      <c r="D25" s="143">
        <v>0</v>
      </c>
      <c r="E25" s="116">
        <f t="shared" si="1"/>
        <v>0</v>
      </c>
      <c r="F25" s="788">
        <f>'1461'!F25:G25</f>
        <v>5.992</v>
      </c>
      <c r="G25" s="788"/>
      <c r="H25" s="80">
        <f t="shared" si="2"/>
        <v>0</v>
      </c>
      <c r="I25" s="101">
        <f t="shared" si="3"/>
        <v>0</v>
      </c>
      <c r="N25" s="747" t="s">
        <v>84</v>
      </c>
      <c r="O25" s="747"/>
      <c r="P25" s="789">
        <f t="shared" si="0"/>
        <v>0</v>
      </c>
      <c r="Q25" s="789"/>
      <c r="R25" s="793">
        <v>1</v>
      </c>
      <c r="S25" s="793"/>
      <c r="T25" s="95">
        <f t="shared" si="4"/>
        <v>0</v>
      </c>
      <c r="U25" s="492">
        <f t="shared" si="5"/>
        <v>0</v>
      </c>
    </row>
    <row r="26" spans="1:21" x14ac:dyDescent="0.25">
      <c r="A26" s="705" t="s">
        <v>85</v>
      </c>
      <c r="B26" s="705"/>
      <c r="C26" s="143">
        <v>0</v>
      </c>
      <c r="D26" s="143">
        <v>0</v>
      </c>
      <c r="E26" s="116">
        <f t="shared" si="1"/>
        <v>0</v>
      </c>
      <c r="F26" s="788">
        <f>'1461'!F26:G26</f>
        <v>1.1919999999999999</v>
      </c>
      <c r="G26" s="788"/>
      <c r="H26" s="80">
        <f t="shared" si="2"/>
        <v>0</v>
      </c>
      <c r="I26" s="101">
        <f t="shared" si="3"/>
        <v>0</v>
      </c>
      <c r="N26" s="747" t="s">
        <v>85</v>
      </c>
      <c r="O26" s="747"/>
      <c r="P26" s="789">
        <f t="shared" si="0"/>
        <v>0</v>
      </c>
      <c r="Q26" s="789"/>
      <c r="R26" s="793">
        <v>1</v>
      </c>
      <c r="S26" s="793"/>
      <c r="T26" s="95">
        <f t="shared" si="4"/>
        <v>0</v>
      </c>
      <c r="U26" s="492">
        <f t="shared" si="5"/>
        <v>0</v>
      </c>
    </row>
    <row r="27" spans="1:21" x14ac:dyDescent="0.25">
      <c r="A27" s="705" t="s">
        <v>86</v>
      </c>
      <c r="B27" s="705"/>
      <c r="C27" s="143">
        <v>0</v>
      </c>
      <c r="D27" s="143">
        <v>0</v>
      </c>
      <c r="E27" s="116">
        <f t="shared" si="1"/>
        <v>0</v>
      </c>
      <c r="F27" s="788">
        <f>'1461'!F27:G27</f>
        <v>1.1919999999999999</v>
      </c>
      <c r="G27" s="788"/>
      <c r="H27" s="80">
        <f t="shared" si="2"/>
        <v>0</v>
      </c>
      <c r="I27" s="101">
        <f t="shared" si="3"/>
        <v>0</v>
      </c>
      <c r="N27" s="747" t="s">
        <v>86</v>
      </c>
      <c r="O27" s="747"/>
      <c r="P27" s="789">
        <f t="shared" si="0"/>
        <v>0</v>
      </c>
      <c r="Q27" s="789"/>
      <c r="R27" s="793">
        <v>1</v>
      </c>
      <c r="S27" s="793"/>
      <c r="T27" s="95">
        <f t="shared" si="4"/>
        <v>0</v>
      </c>
      <c r="U27" s="492">
        <f t="shared" si="5"/>
        <v>0</v>
      </c>
    </row>
    <row r="28" spans="1:21" x14ac:dyDescent="0.25">
      <c r="A28" s="705" t="s">
        <v>87</v>
      </c>
      <c r="B28" s="705"/>
      <c r="C28" s="143">
        <v>2.44</v>
      </c>
      <c r="D28" s="143">
        <v>0</v>
      </c>
      <c r="E28" s="116">
        <f t="shared" si="1"/>
        <v>4.88</v>
      </c>
      <c r="F28" s="788">
        <f>'1461'!F28:G28</f>
        <v>1.1919999999999999</v>
      </c>
      <c r="G28" s="788"/>
      <c r="H28" s="80">
        <f t="shared" si="2"/>
        <v>5.8170000000000002</v>
      </c>
      <c r="I28" s="101">
        <f t="shared" si="3"/>
        <v>32275.53</v>
      </c>
      <c r="N28" s="747" t="s">
        <v>87</v>
      </c>
      <c r="O28" s="747"/>
      <c r="P28" s="789">
        <f t="shared" si="0"/>
        <v>0</v>
      </c>
      <c r="Q28" s="789"/>
      <c r="R28" s="793">
        <v>1</v>
      </c>
      <c r="S28" s="793"/>
      <c r="T28" s="95">
        <f t="shared" si="4"/>
        <v>0</v>
      </c>
      <c r="U28" s="492">
        <f t="shared" si="5"/>
        <v>0</v>
      </c>
    </row>
    <row r="29" spans="1:21" x14ac:dyDescent="0.25">
      <c r="A29" s="705" t="s">
        <v>88</v>
      </c>
      <c r="B29" s="705"/>
      <c r="C29" s="110">
        <v>121.01</v>
      </c>
      <c r="D29" s="110">
        <v>0</v>
      </c>
      <c r="E29" s="154">
        <f t="shared" si="1"/>
        <v>242.02</v>
      </c>
      <c r="F29" s="788">
        <f>'1461'!F29:G29</f>
        <v>1.079</v>
      </c>
      <c r="G29" s="788"/>
      <c r="H29" s="93">
        <f t="shared" si="2"/>
        <v>261.13959999999997</v>
      </c>
      <c r="I29" s="94">
        <f t="shared" si="3"/>
        <v>1448928.89</v>
      </c>
      <c r="N29" s="748" t="s">
        <v>88</v>
      </c>
      <c r="O29" s="748"/>
      <c r="P29" s="789">
        <f t="shared" si="0"/>
        <v>0</v>
      </c>
      <c r="Q29" s="789"/>
      <c r="R29" s="790">
        <v>1</v>
      </c>
      <c r="S29" s="790"/>
      <c r="T29" s="95">
        <f t="shared" si="4"/>
        <v>0</v>
      </c>
      <c r="U29" s="492">
        <f t="shared" si="5"/>
        <v>0</v>
      </c>
    </row>
    <row r="30" spans="1:21" x14ac:dyDescent="0.25">
      <c r="A30" s="708" t="s">
        <v>5</v>
      </c>
      <c r="B30" s="708"/>
      <c r="C30" s="94">
        <f>SUM(C14:C29)</f>
        <v>557.32000000000005</v>
      </c>
      <c r="D30" s="94">
        <f>SUM(D14:D29)</f>
        <v>0</v>
      </c>
      <c r="E30" s="94">
        <f>SUM(E14:E29)</f>
        <v>1114.6400000000001</v>
      </c>
      <c r="F30" s="724"/>
      <c r="G30" s="724"/>
      <c r="H30" s="99">
        <f>SUM(H14:H29)</f>
        <v>1115.6062999999999</v>
      </c>
      <c r="I30" s="94">
        <f>SUM(I14:I29)</f>
        <v>6189923.6899999995</v>
      </c>
      <c r="N30" s="791" t="s">
        <v>5</v>
      </c>
      <c r="O30" s="791"/>
      <c r="P30" s="792">
        <f>SUM(P14:P29)</f>
        <v>0</v>
      </c>
      <c r="Q30" s="792"/>
      <c r="R30" s="781"/>
      <c r="S30" s="781"/>
      <c r="T30" s="100">
        <f>SUM(T14:T29)</f>
        <v>0</v>
      </c>
      <c r="U30" s="492">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14" t="s">
        <v>232</v>
      </c>
      <c r="G34" s="814"/>
      <c r="H34" s="814"/>
      <c r="I34" s="101"/>
      <c r="N34" s="28"/>
      <c r="O34" s="28"/>
      <c r="P34" s="29"/>
      <c r="Q34" s="29"/>
      <c r="R34" s="30"/>
      <c r="S34" s="30"/>
      <c r="T34" s="102"/>
      <c r="U34" s="103"/>
    </row>
    <row r="35" spans="1:21" hidden="1" x14ac:dyDescent="0.25">
      <c r="A35" s="3"/>
      <c r="B35" s="69"/>
      <c r="C35" s="69"/>
      <c r="D35" s="69"/>
      <c r="E35" s="69"/>
      <c r="F35" s="814"/>
      <c r="G35" s="814"/>
      <c r="H35" s="814"/>
      <c r="I35" s="24" t="s">
        <v>61</v>
      </c>
      <c r="N35" s="751" t="s">
        <v>26</v>
      </c>
      <c r="O35" s="751"/>
      <c r="P35" s="751"/>
      <c r="Q35" s="751"/>
      <c r="R35" s="751"/>
      <c r="S35" s="751"/>
      <c r="T35" s="751"/>
      <c r="U35" s="25" t="str">
        <f>I35</f>
        <v>2015-16</v>
      </c>
    </row>
    <row r="36" spans="1:21" hidden="1" x14ac:dyDescent="0.25">
      <c r="A36" s="26"/>
      <c r="B36" s="26"/>
      <c r="C36" s="88" t="s">
        <v>93</v>
      </c>
      <c r="D36" s="88" t="s">
        <v>94</v>
      </c>
      <c r="E36" s="89" t="s">
        <v>8</v>
      </c>
      <c r="F36" s="814"/>
      <c r="G36" s="814"/>
      <c r="H36" s="814"/>
      <c r="I36" s="24" t="s">
        <v>27</v>
      </c>
      <c r="N36" s="28"/>
      <c r="O36" s="28"/>
      <c r="P36" s="29"/>
      <c r="Q36" s="29"/>
      <c r="R36" s="30"/>
      <c r="S36" s="30"/>
      <c r="T36" s="102"/>
      <c r="U36" s="25" t="s">
        <v>27</v>
      </c>
    </row>
    <row r="37" spans="1:21" ht="26.25" hidden="1" x14ac:dyDescent="0.25">
      <c r="A37" s="725" t="s">
        <v>50</v>
      </c>
      <c r="B37" s="725"/>
      <c r="C37" s="90" t="s">
        <v>2</v>
      </c>
      <c r="D37" s="90" t="s">
        <v>2</v>
      </c>
      <c r="E37" s="90" t="s">
        <v>2</v>
      </c>
      <c r="F37" s="815"/>
      <c r="G37" s="815"/>
      <c r="H37" s="815"/>
      <c r="I37" s="31" t="s">
        <v>413</v>
      </c>
      <c r="N37" s="785" t="s">
        <v>50</v>
      </c>
      <c r="O37" s="785"/>
      <c r="P37" s="786" t="s">
        <v>19</v>
      </c>
      <c r="Q37" s="786"/>
      <c r="R37" s="786"/>
      <c r="S37" s="786"/>
      <c r="T37" s="786"/>
      <c r="U37" s="19" t="str">
        <f>I37</f>
        <v>(WFTE x BSA x CWF x SDF)</v>
      </c>
    </row>
    <row r="38" spans="1:21" hidden="1" x14ac:dyDescent="0.25">
      <c r="A38" s="726" t="s">
        <v>45</v>
      </c>
      <c r="B38" s="726"/>
      <c r="C38" s="147">
        <v>0</v>
      </c>
      <c r="D38" s="147">
        <v>0</v>
      </c>
      <c r="E38" s="187">
        <f t="shared" ref="E38:E43" si="6">IF(D$44=0,C38*2,C38+D38)</f>
        <v>0</v>
      </c>
      <c r="F38" s="148"/>
      <c r="G38" s="148"/>
      <c r="H38" s="148"/>
      <c r="I38" s="111">
        <f>ROUND(ROUND(ROUND(E38*$C$8,4)*($H$8),2)*(MAX($H$9,1)),2)</f>
        <v>0</v>
      </c>
      <c r="N38" s="787" t="s">
        <v>45</v>
      </c>
      <c r="O38" s="787"/>
      <c r="P38" s="749">
        <f t="shared" ref="P38:P43" si="7">IF($H$133=1,E38,0)</f>
        <v>0</v>
      </c>
      <c r="Q38" s="749"/>
      <c r="R38" s="749"/>
      <c r="S38" s="749"/>
      <c r="T38" s="749"/>
      <c r="U38" s="98">
        <f>ROUND(ROUND(ROUND(P38*$C$8,4)*($H$8),2)*(MAX($H$9,1)),2)</f>
        <v>0</v>
      </c>
    </row>
    <row r="39" spans="1:21" hidden="1" x14ac:dyDescent="0.25">
      <c r="A39" s="705" t="s">
        <v>46</v>
      </c>
      <c r="B39" s="705"/>
      <c r="C39" s="150">
        <v>0</v>
      </c>
      <c r="D39" s="150">
        <v>0</v>
      </c>
      <c r="E39" s="116">
        <f t="shared" si="6"/>
        <v>0</v>
      </c>
      <c r="F39" s="151"/>
      <c r="G39" s="151"/>
      <c r="H39" s="151"/>
      <c r="I39" s="101">
        <f t="shared" ref="I39:I43" si="8">ROUND(ROUND(ROUND(E39*$C$8,4)*($H$8),2)*(MAX($H$9,1)),2)</f>
        <v>0</v>
      </c>
      <c r="N39" s="747" t="s">
        <v>46</v>
      </c>
      <c r="O39" s="747"/>
      <c r="P39" s="749">
        <f t="shared" si="7"/>
        <v>0</v>
      </c>
      <c r="Q39" s="749"/>
      <c r="R39" s="749"/>
      <c r="S39" s="749"/>
      <c r="T39" s="749"/>
      <c r="U39" s="98">
        <f t="shared" ref="U39:U43" si="9">ROUND(ROUND(ROUND(P39*$C$8,4)*($H$8),2)*(MAX($H$9,1)),2)</f>
        <v>0</v>
      </c>
    </row>
    <row r="40" spans="1:21" hidden="1" x14ac:dyDescent="0.25">
      <c r="A40" s="712" t="s">
        <v>47</v>
      </c>
      <c r="B40" s="712"/>
      <c r="C40" s="150">
        <v>0</v>
      </c>
      <c r="D40" s="150">
        <v>0</v>
      </c>
      <c r="E40" s="116">
        <f t="shared" si="6"/>
        <v>0</v>
      </c>
      <c r="F40" s="151"/>
      <c r="G40" s="151"/>
      <c r="H40" s="151"/>
      <c r="I40" s="101">
        <f t="shared" si="8"/>
        <v>0</v>
      </c>
      <c r="N40" s="782" t="s">
        <v>47</v>
      </c>
      <c r="O40" s="782"/>
      <c r="P40" s="749">
        <f t="shared" si="7"/>
        <v>0</v>
      </c>
      <c r="Q40" s="749"/>
      <c r="R40" s="749"/>
      <c r="S40" s="749"/>
      <c r="T40" s="749"/>
      <c r="U40" s="98">
        <f t="shared" si="9"/>
        <v>0</v>
      </c>
    </row>
    <row r="41" spans="1:21" hidden="1" x14ac:dyDescent="0.25">
      <c r="A41" s="705" t="s">
        <v>48</v>
      </c>
      <c r="B41" s="705"/>
      <c r="C41" s="150">
        <v>0</v>
      </c>
      <c r="D41" s="150">
        <v>0</v>
      </c>
      <c r="E41" s="116">
        <f t="shared" si="6"/>
        <v>0</v>
      </c>
      <c r="F41" s="151"/>
      <c r="G41" s="151"/>
      <c r="H41" s="151"/>
      <c r="I41" s="101">
        <f t="shared" si="8"/>
        <v>0</v>
      </c>
      <c r="N41" s="747" t="s">
        <v>48</v>
      </c>
      <c r="O41" s="747"/>
      <c r="P41" s="749">
        <f t="shared" si="7"/>
        <v>0</v>
      </c>
      <c r="Q41" s="749"/>
      <c r="R41" s="749"/>
      <c r="S41" s="749"/>
      <c r="T41" s="749"/>
      <c r="U41" s="98">
        <f t="shared" si="9"/>
        <v>0</v>
      </c>
    </row>
    <row r="42" spans="1:21" hidden="1" x14ac:dyDescent="0.25">
      <c r="A42" s="705" t="s">
        <v>49</v>
      </c>
      <c r="B42" s="705"/>
      <c r="C42" s="150">
        <v>0</v>
      </c>
      <c r="D42" s="150">
        <v>0</v>
      </c>
      <c r="E42" s="116">
        <f t="shared" si="6"/>
        <v>0</v>
      </c>
      <c r="F42" s="151"/>
      <c r="G42" s="151"/>
      <c r="H42" s="151"/>
      <c r="I42" s="101">
        <f t="shared" si="8"/>
        <v>0</v>
      </c>
      <c r="N42" s="747" t="s">
        <v>49</v>
      </c>
      <c r="O42" s="747"/>
      <c r="P42" s="749">
        <f t="shared" si="7"/>
        <v>0</v>
      </c>
      <c r="Q42" s="749"/>
      <c r="R42" s="749"/>
      <c r="S42" s="749"/>
      <c r="T42" s="749"/>
      <c r="U42" s="98">
        <f t="shared" si="9"/>
        <v>0</v>
      </c>
    </row>
    <row r="43" spans="1:21" hidden="1" x14ac:dyDescent="0.25">
      <c r="A43" s="705" t="s">
        <v>41</v>
      </c>
      <c r="B43" s="705"/>
      <c r="C43" s="149">
        <v>0</v>
      </c>
      <c r="D43" s="149">
        <v>0</v>
      </c>
      <c r="E43" s="154">
        <f t="shared" si="6"/>
        <v>0</v>
      </c>
      <c r="F43" s="151"/>
      <c r="G43" s="151"/>
      <c r="H43" s="151"/>
      <c r="I43" s="94">
        <f t="shared" si="8"/>
        <v>0</v>
      </c>
      <c r="N43" s="748" t="s">
        <v>41</v>
      </c>
      <c r="O43" s="748"/>
      <c r="P43" s="749">
        <f t="shared" si="7"/>
        <v>0</v>
      </c>
      <c r="Q43" s="749"/>
      <c r="R43" s="749"/>
      <c r="S43" s="749"/>
      <c r="T43" s="749"/>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76" t="s">
        <v>43</v>
      </c>
      <c r="O44" s="776"/>
      <c r="P44" s="776"/>
      <c r="Q44" s="776"/>
      <c r="R44" s="33">
        <f>SUM(P38:R43)</f>
        <v>0</v>
      </c>
      <c r="S44" s="781" t="s">
        <v>51</v>
      </c>
      <c r="T44" s="781"/>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76" t="s">
        <v>44</v>
      </c>
      <c r="O46" s="776"/>
      <c r="P46" s="776"/>
      <c r="Q46" s="776"/>
      <c r="R46" s="35">
        <f>R44+T30</f>
        <v>0</v>
      </c>
      <c r="S46" s="781" t="s">
        <v>42</v>
      </c>
      <c r="T46" s="781"/>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414</v>
      </c>
      <c r="B48" s="26"/>
      <c r="C48" s="26"/>
      <c r="D48" s="26"/>
      <c r="E48" s="26"/>
      <c r="F48" s="34"/>
      <c r="G48" s="27"/>
      <c r="H48" s="27"/>
      <c r="I48" s="101"/>
      <c r="N48" s="402" t="s">
        <v>414</v>
      </c>
      <c r="O48" s="28"/>
      <c r="P48" s="28"/>
      <c r="Q48" s="28"/>
      <c r="R48" s="35"/>
      <c r="S48" s="30"/>
      <c r="T48" s="30"/>
      <c r="U48" s="421"/>
    </row>
    <row r="49" spans="1:22" s="410" customFormat="1" ht="9" customHeight="1" x14ac:dyDescent="0.2">
      <c r="A49" s="500" t="s">
        <v>415</v>
      </c>
      <c r="F49" s="411"/>
      <c r="G49" s="412"/>
      <c r="H49" s="412"/>
      <c r="I49" s="413"/>
      <c r="N49" s="422" t="s">
        <v>415</v>
      </c>
      <c r="O49" s="414"/>
      <c r="P49" s="414"/>
      <c r="Q49" s="414"/>
      <c r="R49" s="415"/>
      <c r="S49" s="416"/>
      <c r="T49" s="416"/>
      <c r="U49" s="423"/>
    </row>
    <row r="50" spans="1:22" s="410" customFormat="1" ht="11.25" customHeight="1" x14ac:dyDescent="0.2">
      <c r="A50" s="502" t="s">
        <v>416</v>
      </c>
      <c r="F50" s="411"/>
      <c r="G50" s="412"/>
      <c r="H50" s="412"/>
      <c r="I50" s="413"/>
      <c r="N50" s="424" t="s">
        <v>416</v>
      </c>
      <c r="O50" s="414"/>
      <c r="P50" s="414"/>
      <c r="Q50" s="414"/>
      <c r="R50" s="415"/>
      <c r="S50" s="416"/>
      <c r="T50" s="416"/>
      <c r="U50" s="423"/>
    </row>
    <row r="51" spans="1:22" x14ac:dyDescent="0.25">
      <c r="A51" s="408"/>
      <c r="B51" s="418" t="s">
        <v>528</v>
      </c>
      <c r="C51" s="26"/>
      <c r="D51" s="26"/>
      <c r="E51" s="43" t="s">
        <v>417</v>
      </c>
      <c r="F51" s="419">
        <v>5835656.870000001</v>
      </c>
      <c r="G51" s="109" t="s">
        <v>6</v>
      </c>
      <c r="H51" s="420">
        <v>5.5899999999999998E-2</v>
      </c>
      <c r="I51" s="101">
        <f>ROUND(F51*H51,2)</f>
        <v>326213.21999999997</v>
      </c>
      <c r="N51" s="425"/>
      <c r="O51" s="426" t="s">
        <v>527</v>
      </c>
      <c r="P51" s="28"/>
      <c r="Q51" s="44" t="s">
        <v>417</v>
      </c>
      <c r="R51" s="427">
        <f>U30</f>
        <v>0</v>
      </c>
      <c r="S51" s="428" t="s">
        <v>6</v>
      </c>
      <c r="T51" s="429">
        <v>5.5899999999999998E-2</v>
      </c>
      <c r="U51" s="421">
        <f>ROUND(R51*T51,2)</f>
        <v>0</v>
      </c>
    </row>
    <row r="52" spans="1:22" x14ac:dyDescent="0.25">
      <c r="A52" s="26"/>
      <c r="B52" s="578" t="s">
        <v>532</v>
      </c>
      <c r="C52" s="26"/>
      <c r="D52" s="26"/>
      <c r="E52" s="43" t="s">
        <v>417</v>
      </c>
      <c r="F52" s="419">
        <v>5835656.870000001</v>
      </c>
      <c r="G52" s="109" t="s">
        <v>6</v>
      </c>
      <c r="H52" s="420">
        <v>1.0699999999999999E-2</v>
      </c>
      <c r="I52" s="101">
        <f>ROUND(F52*H52,2)</f>
        <v>62441.53</v>
      </c>
      <c r="N52" s="28"/>
      <c r="O52" s="579" t="s">
        <v>531</v>
      </c>
      <c r="P52" s="28"/>
      <c r="Q52" s="44" t="s">
        <v>417</v>
      </c>
      <c r="R52" s="427">
        <f>U30</f>
        <v>0</v>
      </c>
      <c r="S52" s="428" t="s">
        <v>6</v>
      </c>
      <c r="T52" s="429">
        <v>1.0699999999999999E-2</v>
      </c>
      <c r="U52" s="430">
        <f>ROUND(R52*T52,2)</f>
        <v>0</v>
      </c>
    </row>
    <row r="53" spans="1:22" x14ac:dyDescent="0.25">
      <c r="A53" s="26"/>
      <c r="B53" s="81" t="s">
        <v>418</v>
      </c>
      <c r="C53" s="26"/>
      <c r="D53" s="26"/>
      <c r="E53" s="43"/>
      <c r="F53" s="419"/>
      <c r="G53" s="109"/>
      <c r="H53" s="420"/>
      <c r="I53" s="97">
        <f>SUM(I51:I52)</f>
        <v>388654.75</v>
      </c>
      <c r="N53" s="28"/>
      <c r="O53" s="402" t="s">
        <v>418</v>
      </c>
      <c r="P53" s="28"/>
      <c r="Q53" s="44"/>
      <c r="R53" s="427"/>
      <c r="S53" s="428"/>
      <c r="T53" s="429"/>
      <c r="U53" s="421">
        <f>SUM(U51:U52)</f>
        <v>0</v>
      </c>
    </row>
    <row r="54" spans="1:22" x14ac:dyDescent="0.25">
      <c r="C54" s="3" t="str">
        <f>'1461'!C54</f>
        <v/>
      </c>
      <c r="D54" s="3" t="str">
        <f>'1461'!D54</f>
        <v/>
      </c>
      <c r="G54" s="42"/>
      <c r="H54" s="114"/>
      <c r="I54" s="114"/>
      <c r="N54" s="465"/>
      <c r="O54" s="51"/>
      <c r="P54" s="51" t="str">
        <f>'1461'!P54</f>
        <v/>
      </c>
      <c r="Q54" s="51" t="str">
        <f>'1461'!Q54</f>
        <v/>
      </c>
      <c r="R54" s="51"/>
      <c r="S54" s="51"/>
      <c r="T54" s="481"/>
      <c r="U54" s="482"/>
      <c r="V54" s="114"/>
    </row>
    <row r="55" spans="1:22" x14ac:dyDescent="0.25">
      <c r="A55" s="464"/>
      <c r="B55" s="464"/>
      <c r="C55" s="88" t="str">
        <f>'1461'!C55</f>
        <v>Oct 2024</v>
      </c>
      <c r="D55" s="349" t="str">
        <f>'1461'!D55</f>
        <v>Feb 2025</v>
      </c>
      <c r="E55" s="89" t="s">
        <v>8</v>
      </c>
      <c r="F55" s="46" t="s">
        <v>456</v>
      </c>
      <c r="G55" s="109" t="s">
        <v>457</v>
      </c>
      <c r="H55" s="473" t="s">
        <v>458</v>
      </c>
      <c r="I55" s="101"/>
      <c r="N55" s="467"/>
      <c r="O55" s="467"/>
      <c r="P55" s="483"/>
      <c r="Q55" s="484"/>
      <c r="R55" s="485"/>
      <c r="S55" s="487" t="s">
        <v>457</v>
      </c>
      <c r="T55" s="488" t="s">
        <v>458</v>
      </c>
      <c r="U55" s="486"/>
      <c r="V55" s="443"/>
    </row>
    <row r="56" spans="1:22" x14ac:dyDescent="0.25">
      <c r="A56" s="36" t="s">
        <v>459</v>
      </c>
      <c r="B56" s="36"/>
      <c r="C56" s="340" t="str">
        <f>'1461'!C56</f>
        <v>FTE</v>
      </c>
      <c r="D56" s="340" t="str">
        <f>'1461'!D56</f>
        <v>FTE</v>
      </c>
      <c r="E56" s="90" t="s">
        <v>2</v>
      </c>
      <c r="F56" s="458" t="s">
        <v>460</v>
      </c>
      <c r="G56" s="460" t="s">
        <v>460</v>
      </c>
      <c r="H56" s="474" t="s">
        <v>461</v>
      </c>
      <c r="I56" s="36"/>
      <c r="N56" s="478" t="s">
        <v>459</v>
      </c>
      <c r="O56" s="478"/>
      <c r="P56" s="777" t="s">
        <v>2</v>
      </c>
      <c r="Q56" s="777"/>
      <c r="R56" s="478" t="s">
        <v>465</v>
      </c>
      <c r="S56" s="469" t="s">
        <v>460</v>
      </c>
      <c r="T56" s="489" t="s">
        <v>461</v>
      </c>
      <c r="U56" s="478"/>
      <c r="V56" s="477"/>
    </row>
    <row r="57" spans="1:22" x14ac:dyDescent="0.25">
      <c r="A57" s="720" t="s">
        <v>463</v>
      </c>
      <c r="B57" s="720"/>
      <c r="C57" s="143">
        <v>0</v>
      </c>
      <c r="D57" s="143">
        <v>0</v>
      </c>
      <c r="E57" s="116">
        <f t="shared" ref="E57:E62" si="10">IF(D$72=0,C57*2,C57+D57)</f>
        <v>0</v>
      </c>
      <c r="F57" s="462" t="s">
        <v>455</v>
      </c>
      <c r="G57" s="462">
        <v>251</v>
      </c>
      <c r="H57" s="476">
        <f>'1461'!H57</f>
        <v>1047</v>
      </c>
      <c r="I57" s="101">
        <f>ROUND(E57*H57,2)</f>
        <v>0</v>
      </c>
      <c r="N57" s="778" t="s">
        <v>463</v>
      </c>
      <c r="O57" s="778"/>
      <c r="P57" s="780"/>
      <c r="Q57" s="780"/>
      <c r="R57" s="468" t="s">
        <v>455</v>
      </c>
      <c r="S57" s="468">
        <v>251</v>
      </c>
      <c r="T57" s="479">
        <f>H57</f>
        <v>1047</v>
      </c>
      <c r="U57" s="493">
        <f>ROUND(P57*T57,2)</f>
        <v>0</v>
      </c>
      <c r="V57" s="443"/>
    </row>
    <row r="58" spans="1:22" x14ac:dyDescent="0.25">
      <c r="A58" s="721"/>
      <c r="B58" s="721"/>
      <c r="C58" s="143">
        <v>0</v>
      </c>
      <c r="D58" s="143">
        <v>0</v>
      </c>
      <c r="E58" s="116">
        <f t="shared" si="10"/>
        <v>0</v>
      </c>
      <c r="F58" s="462" t="s">
        <v>455</v>
      </c>
      <c r="G58" s="462">
        <v>252</v>
      </c>
      <c r="H58" s="476">
        <f>'1461'!H58</f>
        <v>3380</v>
      </c>
      <c r="I58" s="101">
        <f t="shared" ref="I58:I65" si="11">ROUND(E58*H58,2)</f>
        <v>0</v>
      </c>
      <c r="N58" s="779"/>
      <c r="O58" s="779"/>
      <c r="P58" s="773"/>
      <c r="Q58" s="773"/>
      <c r="R58" s="468" t="s">
        <v>455</v>
      </c>
      <c r="S58" s="468">
        <v>252</v>
      </c>
      <c r="T58" s="479">
        <f t="shared" ref="T58:T65" si="12">H58</f>
        <v>3380</v>
      </c>
      <c r="U58" s="493">
        <f t="shared" ref="U58:U65" si="13">ROUND(P58*T58,2)</f>
        <v>0</v>
      </c>
      <c r="V58" s="443"/>
    </row>
    <row r="59" spans="1:22" x14ac:dyDescent="0.25">
      <c r="A59" s="721"/>
      <c r="B59" s="721"/>
      <c r="C59" s="143">
        <v>0</v>
      </c>
      <c r="D59" s="143">
        <v>0</v>
      </c>
      <c r="E59" s="116">
        <f t="shared" si="10"/>
        <v>0</v>
      </c>
      <c r="F59" s="462" t="s">
        <v>455</v>
      </c>
      <c r="G59" s="462">
        <v>253</v>
      </c>
      <c r="H59" s="476">
        <f>'1461'!H59</f>
        <v>6896</v>
      </c>
      <c r="I59" s="101">
        <f t="shared" si="11"/>
        <v>0</v>
      </c>
      <c r="N59" s="779"/>
      <c r="O59" s="779"/>
      <c r="P59" s="773"/>
      <c r="Q59" s="773"/>
      <c r="R59" s="468" t="s">
        <v>455</v>
      </c>
      <c r="S59" s="468">
        <v>253</v>
      </c>
      <c r="T59" s="479">
        <f t="shared" si="12"/>
        <v>6896</v>
      </c>
      <c r="U59" s="493">
        <f t="shared" si="13"/>
        <v>0</v>
      </c>
      <c r="V59" s="443"/>
    </row>
    <row r="60" spans="1:22" x14ac:dyDescent="0.25">
      <c r="A60" s="721"/>
      <c r="B60" s="721"/>
      <c r="C60" s="143">
        <v>0</v>
      </c>
      <c r="D60" s="143">
        <v>0</v>
      </c>
      <c r="E60" s="116">
        <f t="shared" si="10"/>
        <v>0</v>
      </c>
      <c r="F60" s="463" t="s">
        <v>13</v>
      </c>
      <c r="G60" s="462">
        <v>251</v>
      </c>
      <c r="H60" s="476">
        <f>'1461'!H60</f>
        <v>1173</v>
      </c>
      <c r="I60" s="101">
        <f t="shared" si="11"/>
        <v>0</v>
      </c>
      <c r="N60" s="779"/>
      <c r="O60" s="779"/>
      <c r="P60" s="773"/>
      <c r="Q60" s="773"/>
      <c r="R60" s="40" t="s">
        <v>13</v>
      </c>
      <c r="S60" s="468">
        <v>251</v>
      </c>
      <c r="T60" s="479">
        <f t="shared" si="12"/>
        <v>1173</v>
      </c>
      <c r="U60" s="493">
        <f t="shared" si="13"/>
        <v>0</v>
      </c>
      <c r="V60" s="443"/>
    </row>
    <row r="61" spans="1:22" x14ac:dyDescent="0.25">
      <c r="A61" s="721"/>
      <c r="B61" s="721"/>
      <c r="C61" s="143">
        <v>0</v>
      </c>
      <c r="D61" s="143">
        <v>0</v>
      </c>
      <c r="E61" s="116">
        <f t="shared" si="10"/>
        <v>0</v>
      </c>
      <c r="F61" s="463" t="s">
        <v>13</v>
      </c>
      <c r="G61" s="462">
        <v>252</v>
      </c>
      <c r="H61" s="476">
        <f>'1461'!H61</f>
        <v>3506</v>
      </c>
      <c r="I61" s="101">
        <f t="shared" si="11"/>
        <v>0</v>
      </c>
      <c r="N61" s="779"/>
      <c r="O61" s="779"/>
      <c r="P61" s="773"/>
      <c r="Q61" s="773"/>
      <c r="R61" s="40" t="s">
        <v>13</v>
      </c>
      <c r="S61" s="468">
        <v>252</v>
      </c>
      <c r="T61" s="479">
        <f t="shared" si="12"/>
        <v>3506</v>
      </c>
      <c r="U61" s="493">
        <f t="shared" si="13"/>
        <v>0</v>
      </c>
      <c r="V61" s="443"/>
    </row>
    <row r="62" spans="1:22" x14ac:dyDescent="0.25">
      <c r="A62" s="721"/>
      <c r="B62" s="721"/>
      <c r="C62" s="143">
        <v>0</v>
      </c>
      <c r="D62" s="143">
        <v>0</v>
      </c>
      <c r="E62" s="116">
        <f t="shared" si="10"/>
        <v>0</v>
      </c>
      <c r="F62" s="463" t="s">
        <v>13</v>
      </c>
      <c r="G62" s="462">
        <v>253</v>
      </c>
      <c r="H62" s="476">
        <f>'1461'!H62</f>
        <v>7023</v>
      </c>
      <c r="I62" s="101">
        <f t="shared" si="11"/>
        <v>0</v>
      </c>
      <c r="N62" s="779"/>
      <c r="O62" s="779"/>
      <c r="P62" s="773"/>
      <c r="Q62" s="773"/>
      <c r="R62" s="40" t="s">
        <v>13</v>
      </c>
      <c r="S62" s="468">
        <v>253</v>
      </c>
      <c r="T62" s="479">
        <f t="shared" si="12"/>
        <v>7023</v>
      </c>
      <c r="U62" s="493">
        <f t="shared" si="13"/>
        <v>0</v>
      </c>
      <c r="V62" s="443"/>
    </row>
    <row r="63" spans="1:22" x14ac:dyDescent="0.25">
      <c r="A63" s="721"/>
      <c r="B63" s="721"/>
      <c r="C63" s="143">
        <v>121.95</v>
      </c>
      <c r="D63" s="143">
        <v>0</v>
      </c>
      <c r="E63" s="116">
        <f>IF(D$66=0,C63*2,C63+D63)</f>
        <v>243.9</v>
      </c>
      <c r="F63" s="463" t="s">
        <v>14</v>
      </c>
      <c r="G63" s="462">
        <v>251</v>
      </c>
      <c r="H63" s="476">
        <f>'1461'!H63</f>
        <v>835</v>
      </c>
      <c r="I63" s="101">
        <f t="shared" si="11"/>
        <v>203656.5</v>
      </c>
      <c r="N63" s="779"/>
      <c r="O63" s="779"/>
      <c r="P63" s="773"/>
      <c r="Q63" s="773"/>
      <c r="R63" s="40" t="s">
        <v>14</v>
      </c>
      <c r="S63" s="468">
        <v>251</v>
      </c>
      <c r="T63" s="479">
        <f t="shared" si="12"/>
        <v>835</v>
      </c>
      <c r="U63" s="493">
        <f t="shared" si="13"/>
        <v>0</v>
      </c>
      <c r="V63" s="443"/>
    </row>
    <row r="64" spans="1:22" x14ac:dyDescent="0.25">
      <c r="A64" s="721"/>
      <c r="B64" s="721"/>
      <c r="C64" s="143">
        <v>8.9600000000000009</v>
      </c>
      <c r="D64" s="143">
        <v>0</v>
      </c>
      <c r="E64" s="116">
        <f>IF(D$66=0,C64*2,C64+D64)</f>
        <v>17.920000000000002</v>
      </c>
      <c r="F64" s="463" t="s">
        <v>14</v>
      </c>
      <c r="G64" s="462">
        <v>252</v>
      </c>
      <c r="H64" s="476">
        <f>'1461'!H64</f>
        <v>3168</v>
      </c>
      <c r="I64" s="101">
        <f t="shared" si="11"/>
        <v>56770.559999999998</v>
      </c>
      <c r="N64" s="779"/>
      <c r="O64" s="779"/>
      <c r="P64" s="773"/>
      <c r="Q64" s="773"/>
      <c r="R64" s="40" t="s">
        <v>14</v>
      </c>
      <c r="S64" s="468">
        <v>252</v>
      </c>
      <c r="T64" s="479">
        <f t="shared" si="12"/>
        <v>3168</v>
      </c>
      <c r="U64" s="493">
        <f t="shared" si="13"/>
        <v>0</v>
      </c>
      <c r="V64" s="443"/>
    </row>
    <row r="65" spans="1:22" ht="16.5" thickBot="1" x14ac:dyDescent="0.3">
      <c r="A65" s="721"/>
      <c r="B65" s="721"/>
      <c r="C65" s="143">
        <v>0.28999999999999998</v>
      </c>
      <c r="D65" s="143">
        <v>0</v>
      </c>
      <c r="E65" s="116">
        <f>IF(D$66=0,C65*2,C65+D65)</f>
        <v>0.57999999999999996</v>
      </c>
      <c r="F65" s="463" t="s">
        <v>14</v>
      </c>
      <c r="G65" s="462">
        <v>253</v>
      </c>
      <c r="H65" s="476">
        <f>'1461'!H65</f>
        <v>6685</v>
      </c>
      <c r="I65" s="101">
        <f t="shared" si="11"/>
        <v>3877.3</v>
      </c>
      <c r="N65" s="779"/>
      <c r="O65" s="779"/>
      <c r="P65" s="774"/>
      <c r="Q65" s="774"/>
      <c r="R65" s="40" t="s">
        <v>14</v>
      </c>
      <c r="S65" s="468">
        <v>253</v>
      </c>
      <c r="T65" s="479">
        <f t="shared" si="12"/>
        <v>6685</v>
      </c>
      <c r="U65" s="494">
        <f t="shared" si="13"/>
        <v>0</v>
      </c>
      <c r="V65" s="443"/>
    </row>
    <row r="66" spans="1:22" ht="16.5" thickBot="1" x14ac:dyDescent="0.3">
      <c r="A66" s="459"/>
      <c r="C66" s="97">
        <f>SUM(C57:C65)</f>
        <v>131.19999999999999</v>
      </c>
      <c r="D66" s="97">
        <f>SUM(D57:D65)</f>
        <v>0</v>
      </c>
      <c r="E66" s="97">
        <f>SUM(E57:E65)</f>
        <v>262.39999999999998</v>
      </c>
      <c r="F66" s="708" t="s">
        <v>464</v>
      </c>
      <c r="G66" s="708"/>
      <c r="H66" s="708"/>
      <c r="I66" s="97">
        <f>SUM(I57:I65)</f>
        <v>264304.36</v>
      </c>
      <c r="N66" s="465"/>
      <c r="O66" s="51"/>
      <c r="P66" s="775">
        <f>SUM(P57:P65)</f>
        <v>0</v>
      </c>
      <c r="Q66" s="775"/>
      <c r="R66" s="776" t="s">
        <v>464</v>
      </c>
      <c r="S66" s="776"/>
      <c r="T66" s="776"/>
      <c r="U66" s="495">
        <f>SUM(U57:U65)</f>
        <v>0</v>
      </c>
      <c r="V66" s="443"/>
    </row>
    <row r="67" spans="1:22" x14ac:dyDescent="0.25">
      <c r="A67" s="459"/>
      <c r="C67" s="101"/>
      <c r="D67" s="101"/>
      <c r="E67" s="101"/>
      <c r="F67" s="464"/>
      <c r="G67" s="464"/>
      <c r="H67" s="464"/>
      <c r="I67" s="101"/>
      <c r="N67" s="465"/>
      <c r="O67" s="465"/>
      <c r="P67" s="465"/>
      <c r="Q67" s="465"/>
      <c r="R67" s="465"/>
      <c r="S67" s="465"/>
      <c r="T67" s="466"/>
      <c r="U67" s="466"/>
    </row>
    <row r="68" spans="1:22" x14ac:dyDescent="0.25">
      <c r="A68" s="461" t="s">
        <v>466</v>
      </c>
      <c r="N68" s="472" t="s">
        <v>474</v>
      </c>
      <c r="O68" s="51"/>
      <c r="P68" s="51"/>
      <c r="Q68" s="51"/>
      <c r="R68" s="51"/>
      <c r="S68" s="51"/>
      <c r="T68" s="51"/>
      <c r="U68" s="51"/>
    </row>
    <row r="69" spans="1:22" x14ac:dyDescent="0.25">
      <c r="A69" s="704" t="s">
        <v>419</v>
      </c>
      <c r="B69" s="705"/>
      <c r="C69" s="112">
        <f>E30</f>
        <v>1114.6400000000001</v>
      </c>
      <c r="D69" s="718" t="s">
        <v>430</v>
      </c>
      <c r="E69" s="718"/>
      <c r="F69" s="718"/>
      <c r="G69" s="718"/>
      <c r="H69" s="299">
        <f>'1461'!H69</f>
        <v>210228.91</v>
      </c>
      <c r="I69" s="113"/>
      <c r="N69" s="746" t="s">
        <v>423</v>
      </c>
      <c r="O69" s="747"/>
      <c r="P69" s="41">
        <f>P30</f>
        <v>0</v>
      </c>
      <c r="Q69" s="771" t="s">
        <v>425</v>
      </c>
      <c r="R69" s="772"/>
      <c r="S69" s="772"/>
      <c r="T69" s="760">
        <f>H69</f>
        <v>210228.91</v>
      </c>
      <c r="U69" s="760"/>
    </row>
    <row r="70" spans="1:22" x14ac:dyDescent="0.25">
      <c r="B70" s="69"/>
      <c r="G70" s="42" t="s">
        <v>12</v>
      </c>
      <c r="H70" s="114">
        <f>ROUND(C69/H69,6)</f>
        <v>5.3020000000000003E-3</v>
      </c>
      <c r="I70" s="115"/>
      <c r="N70" s="747"/>
      <c r="O70" s="747"/>
      <c r="P70" s="747"/>
      <c r="Q70" s="747"/>
      <c r="R70" s="747"/>
      <c r="S70" s="747"/>
      <c r="T70" s="765">
        <f>ROUND(P69/T69,6)</f>
        <v>0</v>
      </c>
      <c r="U70" s="765"/>
    </row>
    <row r="71" spans="1:22" x14ac:dyDescent="0.25">
      <c r="A71" s="461" t="s">
        <v>467</v>
      </c>
      <c r="N71" s="472" t="s">
        <v>475</v>
      </c>
      <c r="O71" s="51"/>
      <c r="P71" s="51"/>
      <c r="Q71" s="51"/>
      <c r="R71" s="51"/>
      <c r="S71" s="51"/>
      <c r="T71" s="51"/>
      <c r="U71" s="51"/>
    </row>
    <row r="72" spans="1:22" x14ac:dyDescent="0.25">
      <c r="A72" s="704" t="s">
        <v>420</v>
      </c>
      <c r="B72" s="705"/>
      <c r="C72" s="112">
        <f>H30</f>
        <v>1115.6062999999999</v>
      </c>
      <c r="D72" s="718" t="s">
        <v>431</v>
      </c>
      <c r="E72" s="718"/>
      <c r="F72" s="718"/>
      <c r="G72" s="718"/>
      <c r="H72" s="300">
        <f>'1461'!H72</f>
        <v>234891.44</v>
      </c>
      <c r="I72" s="116"/>
      <c r="N72" s="746" t="s">
        <v>424</v>
      </c>
      <c r="O72" s="747"/>
      <c r="P72" s="41">
        <f>T30</f>
        <v>0</v>
      </c>
      <c r="Q72" s="771" t="s">
        <v>426</v>
      </c>
      <c r="R72" s="772"/>
      <c r="S72" s="772"/>
      <c r="T72" s="760">
        <f>H72</f>
        <v>234891.44</v>
      </c>
      <c r="U72" s="760"/>
    </row>
    <row r="73" spans="1:22" x14ac:dyDescent="0.25">
      <c r="G73" s="42" t="s">
        <v>12</v>
      </c>
      <c r="H73" s="114">
        <f>ROUND(C72/H72,6)</f>
        <v>4.7489999999999997E-3</v>
      </c>
      <c r="I73" s="114"/>
      <c r="N73" s="747"/>
      <c r="O73" s="747"/>
      <c r="P73" s="747"/>
      <c r="Q73" s="747"/>
      <c r="R73" s="747"/>
      <c r="S73" s="747"/>
      <c r="T73" s="765">
        <f>ROUND(P72/T72,6)</f>
        <v>0</v>
      </c>
      <c r="U73" s="765"/>
    </row>
    <row r="74" spans="1:22" x14ac:dyDescent="0.25">
      <c r="A74" s="436" t="s">
        <v>468</v>
      </c>
      <c r="B74" s="433"/>
      <c r="C74" s="433"/>
      <c r="D74" s="433"/>
      <c r="E74" s="433"/>
      <c r="F74" s="433"/>
      <c r="G74" s="433"/>
      <c r="H74" s="433"/>
      <c r="I74" s="433"/>
      <c r="N74" s="435" t="s">
        <v>476</v>
      </c>
      <c r="O74" s="434"/>
      <c r="P74" s="434"/>
      <c r="Q74" s="434"/>
      <c r="R74" s="434"/>
      <c r="S74" s="434"/>
      <c r="T74" s="434"/>
      <c r="U74" s="434"/>
      <c r="V74" s="433"/>
    </row>
    <row r="75" spans="1:22" x14ac:dyDescent="0.25">
      <c r="A75" s="704" t="s">
        <v>421</v>
      </c>
      <c r="B75" s="705"/>
      <c r="C75" s="112">
        <f>E30</f>
        <v>1114.6400000000001</v>
      </c>
      <c r="D75" s="717" t="s">
        <v>432</v>
      </c>
      <c r="E75" s="717"/>
      <c r="F75" s="717"/>
      <c r="G75" s="717"/>
      <c r="H75" s="299">
        <f>'1461'!H75</f>
        <v>187665.41</v>
      </c>
      <c r="I75" s="113"/>
      <c r="N75" s="746" t="s">
        <v>422</v>
      </c>
      <c r="O75" s="747"/>
      <c r="P75" s="41">
        <f>P30</f>
        <v>0</v>
      </c>
      <c r="Q75" s="767" t="s">
        <v>427</v>
      </c>
      <c r="R75" s="768"/>
      <c r="S75" s="768"/>
      <c r="T75" s="760">
        <f>H75</f>
        <v>187665.41</v>
      </c>
      <c r="U75" s="760"/>
    </row>
    <row r="76" spans="1:22" x14ac:dyDescent="0.25">
      <c r="B76" s="69"/>
      <c r="G76" s="42" t="s">
        <v>12</v>
      </c>
      <c r="H76" s="114">
        <f>ROUND(C75/H75,6)</f>
        <v>5.94E-3</v>
      </c>
      <c r="I76" s="115"/>
      <c r="N76" s="747"/>
      <c r="O76" s="747"/>
      <c r="P76" s="747"/>
      <c r="Q76" s="747"/>
      <c r="R76" s="747"/>
      <c r="S76" s="747"/>
      <c r="T76" s="765">
        <f>ROUND(P75/T75,6)</f>
        <v>0</v>
      </c>
      <c r="U76" s="765"/>
    </row>
    <row r="77" spans="1:22" x14ac:dyDescent="0.25">
      <c r="A77" s="436" t="s">
        <v>469</v>
      </c>
      <c r="B77" s="433"/>
      <c r="C77" s="433"/>
      <c r="D77" s="433"/>
      <c r="E77" s="433"/>
      <c r="F77" s="433"/>
      <c r="G77" s="433"/>
      <c r="H77" s="433"/>
      <c r="I77" s="433"/>
      <c r="N77" s="435" t="s">
        <v>477</v>
      </c>
      <c r="O77" s="434"/>
      <c r="P77" s="434"/>
      <c r="Q77" s="434"/>
      <c r="R77" s="434"/>
      <c r="S77" s="434"/>
      <c r="T77" s="434"/>
      <c r="U77" s="434"/>
      <c r="V77" s="433"/>
    </row>
    <row r="78" spans="1:22" x14ac:dyDescent="0.25">
      <c r="A78" s="704" t="s">
        <v>421</v>
      </c>
      <c r="B78" s="705"/>
      <c r="C78" s="112">
        <f>E30</f>
        <v>1114.6400000000001</v>
      </c>
      <c r="D78" s="713" t="s">
        <v>433</v>
      </c>
      <c r="E78" s="713"/>
      <c r="F78" s="713"/>
      <c r="G78" s="713"/>
      <c r="H78" s="299">
        <f>'1461'!H78</f>
        <v>209892.26</v>
      </c>
      <c r="I78" s="113"/>
      <c r="N78" s="746" t="s">
        <v>422</v>
      </c>
      <c r="O78" s="747"/>
      <c r="P78" s="41">
        <f>P30</f>
        <v>0</v>
      </c>
      <c r="Q78" s="769" t="s">
        <v>428</v>
      </c>
      <c r="R78" s="770"/>
      <c r="S78" s="770"/>
      <c r="T78" s="760">
        <f>H78</f>
        <v>209892.26</v>
      </c>
      <c r="U78" s="760"/>
    </row>
    <row r="79" spans="1:22" x14ac:dyDescent="0.25">
      <c r="B79" s="69"/>
      <c r="G79" s="42" t="s">
        <v>12</v>
      </c>
      <c r="H79" s="114">
        <f>ROUND(C78/H78,6)</f>
        <v>5.3109999999999997E-3</v>
      </c>
      <c r="I79" s="115"/>
      <c r="N79" s="747"/>
      <c r="O79" s="747"/>
      <c r="P79" s="747"/>
      <c r="Q79" s="747"/>
      <c r="R79" s="747"/>
      <c r="S79" s="747"/>
      <c r="T79" s="765">
        <f>ROUND(P78/T78,6)</f>
        <v>0</v>
      </c>
      <c r="U79" s="765"/>
    </row>
    <row r="80" spans="1:22" x14ac:dyDescent="0.25">
      <c r="A80" s="436" t="s">
        <v>470</v>
      </c>
      <c r="B80" s="433"/>
      <c r="C80" s="433"/>
      <c r="D80" s="433"/>
      <c r="E80" s="433"/>
      <c r="F80" s="433"/>
      <c r="G80" s="433"/>
      <c r="H80" s="433"/>
      <c r="I80" s="433"/>
      <c r="N80" s="435" t="s">
        <v>478</v>
      </c>
      <c r="O80" s="434"/>
      <c r="P80" s="434"/>
      <c r="Q80" s="434"/>
      <c r="R80" s="434"/>
      <c r="S80" s="434"/>
      <c r="T80" s="434"/>
      <c r="U80" s="434"/>
      <c r="V80" s="433"/>
    </row>
    <row r="81" spans="1:21" x14ac:dyDescent="0.25">
      <c r="A81" s="704" t="s">
        <v>429</v>
      </c>
      <c r="B81" s="705"/>
      <c r="C81" s="112">
        <f>E30</f>
        <v>1114.6400000000001</v>
      </c>
      <c r="D81" s="717" t="s">
        <v>434</v>
      </c>
      <c r="E81" s="717"/>
      <c r="F81" s="717"/>
      <c r="G81" s="717"/>
      <c r="H81" s="299">
        <f>'1461'!H81</f>
        <v>187328.76</v>
      </c>
      <c r="I81" s="113"/>
      <c r="N81" s="746" t="s">
        <v>435</v>
      </c>
      <c r="O81" s="747"/>
      <c r="P81" s="41">
        <f>P30</f>
        <v>0</v>
      </c>
      <c r="Q81" s="767" t="s">
        <v>436</v>
      </c>
      <c r="R81" s="768"/>
      <c r="S81" s="768"/>
      <c r="T81" s="760">
        <f>H81</f>
        <v>187328.76</v>
      </c>
      <c r="U81" s="760"/>
    </row>
    <row r="82" spans="1:21" x14ac:dyDescent="0.25">
      <c r="B82" s="69"/>
      <c r="G82" s="42" t="s">
        <v>12</v>
      </c>
      <c r="H82" s="114">
        <f>ROUND(C81/H81,6)</f>
        <v>5.9500000000000004E-3</v>
      </c>
      <c r="I82" s="115"/>
      <c r="N82" s="747"/>
      <c r="O82" s="747"/>
      <c r="P82" s="747"/>
      <c r="Q82" s="747"/>
      <c r="R82" s="747"/>
      <c r="S82" s="747"/>
      <c r="T82" s="765">
        <f>ROUND(P81/T81,6)</f>
        <v>0</v>
      </c>
      <c r="U82" s="765"/>
    </row>
    <row r="83" spans="1:21" x14ac:dyDescent="0.25">
      <c r="A83" s="459"/>
      <c r="G83" s="42"/>
      <c r="H83" s="114"/>
      <c r="I83" s="114"/>
      <c r="N83" s="465"/>
      <c r="O83" s="465"/>
      <c r="P83" s="465"/>
      <c r="Q83" s="465"/>
      <c r="R83" s="465"/>
      <c r="S83" s="465"/>
      <c r="T83" s="466"/>
      <c r="U83" s="466"/>
    </row>
    <row r="84" spans="1:21" x14ac:dyDescent="0.25">
      <c r="A84" s="459"/>
      <c r="G84" s="42"/>
      <c r="H84" s="114"/>
      <c r="I84" s="114"/>
      <c r="N84" s="465"/>
      <c r="O84" s="465"/>
      <c r="P84" s="465"/>
      <c r="Q84" s="465"/>
      <c r="R84" s="465"/>
      <c r="S84" s="465"/>
      <c r="T84" s="466"/>
      <c r="U84" s="466"/>
    </row>
    <row r="85" spans="1:21" x14ac:dyDescent="0.25">
      <c r="A85" s="461" t="s">
        <v>471</v>
      </c>
      <c r="D85" s="69"/>
      <c r="E85" s="43" t="s">
        <v>316</v>
      </c>
      <c r="F85" s="301">
        <f>'1461'!F85</f>
        <v>46163704</v>
      </c>
      <c r="G85" s="37" t="s">
        <v>6</v>
      </c>
      <c r="H85" s="441">
        <f>H79</f>
        <v>5.3109999999999997E-3</v>
      </c>
      <c r="I85" s="101">
        <f>ROUND(F85*H85,2)</f>
        <v>245175.43</v>
      </c>
      <c r="N85" s="472" t="s">
        <v>471</v>
      </c>
      <c r="O85" s="51"/>
      <c r="P85" s="51"/>
      <c r="Q85" s="44"/>
      <c r="R85" s="438">
        <f>F85</f>
        <v>46163704</v>
      </c>
      <c r="S85" s="38" t="s">
        <v>6</v>
      </c>
      <c r="T85" s="440">
        <f>T79</f>
        <v>0</v>
      </c>
      <c r="U85" s="492">
        <f>ROUND(R85*T85,2)</f>
        <v>0</v>
      </c>
    </row>
    <row r="86" spans="1:21" x14ac:dyDescent="0.25">
      <c r="A86" s="418"/>
      <c r="D86" s="69"/>
      <c r="E86" s="43"/>
      <c r="F86" s="117"/>
      <c r="G86" s="37"/>
      <c r="H86" s="441"/>
      <c r="I86" s="101"/>
      <c r="N86" s="51"/>
      <c r="O86" s="51"/>
      <c r="P86" s="51"/>
      <c r="Q86" s="44"/>
      <c r="R86" s="439"/>
      <c r="S86" s="38"/>
      <c r="T86" s="440"/>
      <c r="U86" s="496"/>
    </row>
    <row r="87" spans="1:21" x14ac:dyDescent="0.25">
      <c r="A87" s="719" t="s">
        <v>71</v>
      </c>
      <c r="B87" s="705"/>
      <c r="C87" s="705"/>
      <c r="D87" s="69"/>
      <c r="E87" s="43"/>
      <c r="F87" s="117"/>
      <c r="G87" s="37"/>
      <c r="H87" s="441"/>
      <c r="I87" s="101"/>
      <c r="N87" s="746" t="s">
        <v>479</v>
      </c>
      <c r="O87" s="747"/>
      <c r="P87" s="747"/>
      <c r="Q87" s="51"/>
      <c r="R87" s="439"/>
      <c r="S87" s="51"/>
      <c r="T87" s="38"/>
      <c r="U87" s="497"/>
    </row>
    <row r="88" spans="1:21" x14ac:dyDescent="0.25">
      <c r="A88" s="719" t="s">
        <v>99</v>
      </c>
      <c r="B88" s="705"/>
      <c r="C88" s="705"/>
      <c r="D88" s="69"/>
      <c r="E88" s="43" t="s">
        <v>3</v>
      </c>
      <c r="F88" s="301">
        <f>'1461'!F88</f>
        <v>0</v>
      </c>
      <c r="G88" s="37" t="s">
        <v>6</v>
      </c>
      <c r="H88" s="441">
        <f>H70</f>
        <v>5.3020000000000003E-3</v>
      </c>
      <c r="I88" s="101">
        <f>ROUND(F88*H88,2)</f>
        <v>0</v>
      </c>
      <c r="N88" s="766" t="s">
        <v>99</v>
      </c>
      <c r="O88" s="747"/>
      <c r="P88" s="747"/>
      <c r="Q88" s="44"/>
      <c r="R88" s="438">
        <f>F88</f>
        <v>0</v>
      </c>
      <c r="S88" s="38" t="s">
        <v>6</v>
      </c>
      <c r="T88" s="440">
        <f>T70</f>
        <v>0</v>
      </c>
      <c r="U88" s="492">
        <f>ROUND(R88*T88,2)</f>
        <v>0</v>
      </c>
    </row>
    <row r="89" spans="1:21" x14ac:dyDescent="0.25">
      <c r="A89" s="450"/>
      <c r="B89" s="69"/>
      <c r="C89" s="69"/>
      <c r="D89" s="69"/>
      <c r="E89" s="43"/>
      <c r="F89" s="117"/>
      <c r="G89" s="37"/>
      <c r="H89" s="441"/>
      <c r="I89" s="101"/>
      <c r="N89" s="453"/>
      <c r="O89" s="45"/>
      <c r="P89" s="45"/>
      <c r="Q89" s="44"/>
      <c r="R89" s="438"/>
      <c r="S89" s="38"/>
      <c r="T89" s="440"/>
      <c r="U89" s="492"/>
    </row>
    <row r="90" spans="1:21" x14ac:dyDescent="0.25">
      <c r="A90" s="470" t="s">
        <v>472</v>
      </c>
      <c r="D90" s="69"/>
      <c r="E90" s="43" t="s">
        <v>437</v>
      </c>
      <c r="F90" s="301">
        <f>'1461'!F90</f>
        <v>19042026</v>
      </c>
      <c r="G90" s="37" t="s">
        <v>6</v>
      </c>
      <c r="H90" s="441">
        <f>H82</f>
        <v>5.9500000000000004E-3</v>
      </c>
      <c r="I90" s="101">
        <f>ROUND(F90*H90,2)</f>
        <v>113300.05</v>
      </c>
      <c r="N90" s="472" t="s">
        <v>472</v>
      </c>
      <c r="O90" s="51"/>
      <c r="P90" s="51"/>
      <c r="Q90" s="44"/>
      <c r="R90" s="438">
        <f>F90</f>
        <v>19042026</v>
      </c>
      <c r="S90" s="38" t="s">
        <v>6</v>
      </c>
      <c r="T90" s="440">
        <f>T82</f>
        <v>0</v>
      </c>
      <c r="U90" s="492">
        <f>ROUND(R90*T90,2)</f>
        <v>0</v>
      </c>
    </row>
    <row r="91" spans="1:21" x14ac:dyDescent="0.25">
      <c r="A91" s="418"/>
      <c r="D91" s="69"/>
      <c r="E91" s="43"/>
      <c r="F91" s="117"/>
      <c r="G91" s="37"/>
      <c r="H91" s="441"/>
      <c r="I91" s="101"/>
      <c r="N91" s="426"/>
      <c r="O91" s="51"/>
      <c r="P91" s="51"/>
      <c r="Q91" s="44"/>
      <c r="R91" s="438"/>
      <c r="S91" s="38"/>
      <c r="T91" s="440"/>
      <c r="U91" s="492"/>
    </row>
    <row r="92" spans="1:21" x14ac:dyDescent="0.25">
      <c r="A92" s="470" t="s">
        <v>473</v>
      </c>
      <c r="D92" s="69"/>
      <c r="E92" s="43" t="s">
        <v>3</v>
      </c>
      <c r="F92" s="301">
        <f>'1461'!F92</f>
        <v>11441151</v>
      </c>
      <c r="G92" s="37" t="s">
        <v>6</v>
      </c>
      <c r="H92" s="441">
        <f>H76</f>
        <v>5.94E-3</v>
      </c>
      <c r="I92" s="101">
        <f t="shared" ref="I92:I96" si="14">ROUND(F92*H92,2)</f>
        <v>67960.44</v>
      </c>
      <c r="N92" s="472" t="s">
        <v>473</v>
      </c>
      <c r="O92" s="51"/>
      <c r="P92" s="51"/>
      <c r="Q92" s="44"/>
      <c r="R92" s="438">
        <f t="shared" ref="R92:R96" si="15">F92</f>
        <v>11441151</v>
      </c>
      <c r="S92" s="38" t="s">
        <v>6</v>
      </c>
      <c r="T92" s="440">
        <f>T76</f>
        <v>0</v>
      </c>
      <c r="U92" s="492">
        <f>ROUND(R92*T92,2)</f>
        <v>0</v>
      </c>
    </row>
    <row r="93" spans="1:21" x14ac:dyDescent="0.25">
      <c r="A93" s="81"/>
      <c r="D93" s="69"/>
      <c r="E93" s="43"/>
      <c r="F93" s="117"/>
      <c r="G93" s="37"/>
      <c r="H93" s="441"/>
      <c r="I93" s="101"/>
      <c r="N93" s="402"/>
      <c r="O93" s="51"/>
      <c r="P93" s="51"/>
      <c r="Q93" s="44"/>
      <c r="R93" s="439"/>
      <c r="S93" s="38"/>
      <c r="T93" s="440"/>
      <c r="U93" s="496"/>
    </row>
    <row r="94" spans="1:21" x14ac:dyDescent="0.25">
      <c r="A94" s="704" t="s">
        <v>438</v>
      </c>
      <c r="B94" s="705"/>
      <c r="C94" s="705"/>
      <c r="D94" s="69"/>
      <c r="E94" s="43" t="s">
        <v>4</v>
      </c>
      <c r="F94" s="301">
        <f>'1461'!F94</f>
        <v>255756816</v>
      </c>
      <c r="G94" s="37" t="s">
        <v>6</v>
      </c>
      <c r="H94" s="441">
        <f>H73</f>
        <v>4.7489999999999997E-3</v>
      </c>
      <c r="I94" s="101">
        <f t="shared" si="14"/>
        <v>1214589.1200000001</v>
      </c>
      <c r="N94" s="747" t="s">
        <v>438</v>
      </c>
      <c r="O94" s="747"/>
      <c r="P94" s="747"/>
      <c r="Q94" s="44"/>
      <c r="R94" s="438">
        <f t="shared" si="15"/>
        <v>255756816</v>
      </c>
      <c r="S94" s="38" t="s">
        <v>6</v>
      </c>
      <c r="T94" s="440">
        <f>T73</f>
        <v>0</v>
      </c>
      <c r="U94" s="492">
        <f>ROUND(R94*T94,2)</f>
        <v>0</v>
      </c>
    </row>
    <row r="95" spans="1:21" x14ac:dyDescent="0.25">
      <c r="A95" s="81"/>
      <c r="B95" s="69"/>
      <c r="C95" s="69"/>
      <c r="D95" s="69"/>
      <c r="E95" s="43"/>
      <c r="F95" s="117"/>
      <c r="G95" s="37"/>
      <c r="H95" s="441"/>
      <c r="I95" s="101"/>
      <c r="N95" s="45"/>
      <c r="O95" s="45"/>
      <c r="P95" s="45"/>
      <c r="Q95" s="44"/>
      <c r="R95" s="438"/>
      <c r="S95" s="38"/>
      <c r="T95" s="440"/>
      <c r="U95" s="492"/>
    </row>
    <row r="96" spans="1:21" x14ac:dyDescent="0.25">
      <c r="A96" s="704" t="s">
        <v>439</v>
      </c>
      <c r="B96" s="705"/>
      <c r="C96" s="705"/>
      <c r="D96" s="69"/>
      <c r="E96" s="43" t="s">
        <v>4</v>
      </c>
      <c r="F96" s="301">
        <f>'1461'!F96</f>
        <v>-1585559</v>
      </c>
      <c r="G96" s="37" t="s">
        <v>6</v>
      </c>
      <c r="H96" s="441">
        <f>H73</f>
        <v>4.7489999999999997E-3</v>
      </c>
      <c r="I96" s="101">
        <f t="shared" si="14"/>
        <v>-7529.82</v>
      </c>
      <c r="N96" s="746" t="s">
        <v>439</v>
      </c>
      <c r="O96" s="747"/>
      <c r="P96" s="747"/>
      <c r="Q96" s="44"/>
      <c r="R96" s="438">
        <f t="shared" si="15"/>
        <v>-1585559</v>
      </c>
      <c r="S96" s="38" t="s">
        <v>6</v>
      </c>
      <c r="T96" s="440">
        <f>T73</f>
        <v>0</v>
      </c>
      <c r="U96" s="492">
        <f>ROUND(R96*T96,2)</f>
        <v>0</v>
      </c>
    </row>
    <row r="97" spans="1:21" x14ac:dyDescent="0.25">
      <c r="A97" s="548"/>
      <c r="B97" s="547"/>
      <c r="C97" s="547"/>
      <c r="D97" s="547"/>
      <c r="E97" s="545"/>
      <c r="F97" s="117"/>
      <c r="G97" s="546"/>
      <c r="H97" s="441"/>
      <c r="I97" s="101"/>
      <c r="N97" s="551"/>
      <c r="O97" s="550"/>
      <c r="P97" s="550"/>
      <c r="Q97" s="44"/>
      <c r="R97" s="553"/>
      <c r="S97" s="552"/>
      <c r="T97" s="440"/>
      <c r="U97" s="496"/>
    </row>
    <row r="98" spans="1:21" x14ac:dyDescent="0.25">
      <c r="A98" s="548" t="s">
        <v>513</v>
      </c>
      <c r="B98" s="547"/>
      <c r="C98" s="547"/>
      <c r="D98" s="547"/>
      <c r="E98" s="545" t="s">
        <v>3</v>
      </c>
      <c r="F98" s="289">
        <v>0</v>
      </c>
      <c r="G98" s="546" t="s">
        <v>6</v>
      </c>
      <c r="H98" s="441">
        <f>H70</f>
        <v>5.3020000000000003E-3</v>
      </c>
      <c r="I98" s="101">
        <f t="shared" ref="I98" si="16">ROUND(F98*H98,2)</f>
        <v>0</v>
      </c>
      <c r="N98" s="551" t="s">
        <v>513</v>
      </c>
      <c r="O98" s="551"/>
      <c r="P98" s="551"/>
      <c r="Q98" s="44"/>
      <c r="R98" s="554">
        <f>F98</f>
        <v>0</v>
      </c>
      <c r="S98" s="552" t="s">
        <v>6</v>
      </c>
      <c r="T98" s="440">
        <f>T70</f>
        <v>0</v>
      </c>
      <c r="U98" s="492">
        <f>ROUND(R98*T98,2)</f>
        <v>0</v>
      </c>
    </row>
    <row r="99" spans="1:21" x14ac:dyDescent="0.25">
      <c r="A99" s="548"/>
      <c r="B99" s="547"/>
      <c r="C99" s="547"/>
      <c r="D99" s="547"/>
      <c r="E99" s="545"/>
      <c r="F99" s="275"/>
      <c r="G99" s="546"/>
      <c r="H99" s="441"/>
      <c r="I99" s="101"/>
      <c r="N99" s="551"/>
      <c r="O99" s="551"/>
      <c r="P99" s="551"/>
      <c r="Q99" s="44"/>
      <c r="R99" s="553"/>
      <c r="S99" s="552"/>
      <c r="T99" s="440"/>
      <c r="U99" s="496"/>
    </row>
    <row r="100" spans="1:21" x14ac:dyDescent="0.25">
      <c r="A100" s="548"/>
      <c r="B100" s="547"/>
      <c r="C100" s="547"/>
      <c r="D100" s="547"/>
      <c r="E100" s="545"/>
      <c r="F100" s="275"/>
      <c r="G100" s="546"/>
      <c r="H100" s="441"/>
      <c r="I100" s="101"/>
      <c r="N100" s="551"/>
      <c r="O100" s="551"/>
      <c r="P100" s="551"/>
      <c r="Q100" s="44"/>
      <c r="R100" s="439"/>
      <c r="S100" s="552"/>
      <c r="T100" s="440"/>
      <c r="U100" s="103"/>
    </row>
    <row r="101" spans="1:21" x14ac:dyDescent="0.25">
      <c r="A101" s="418" t="s">
        <v>514</v>
      </c>
      <c r="N101" s="426" t="s">
        <v>514</v>
      </c>
      <c r="O101" s="51"/>
      <c r="P101" s="51"/>
      <c r="Q101" s="51"/>
      <c r="R101" s="51"/>
      <c r="S101" s="51"/>
      <c r="T101" s="51"/>
      <c r="U101" s="51"/>
    </row>
    <row r="102" spans="1:21" x14ac:dyDescent="0.25">
      <c r="B102" s="69"/>
      <c r="C102" s="714" t="s">
        <v>60</v>
      </c>
      <c r="D102" s="714"/>
      <c r="E102" s="69"/>
      <c r="F102" s="39" t="s">
        <v>28</v>
      </c>
      <c r="G102" s="69"/>
      <c r="H102" s="69"/>
      <c r="I102" s="69"/>
      <c r="N102" s="45"/>
      <c r="O102" s="45"/>
      <c r="P102" s="45"/>
      <c r="Q102" s="45"/>
      <c r="R102" s="45"/>
      <c r="S102" s="45"/>
      <c r="T102" s="45"/>
      <c r="U102" s="45"/>
    </row>
    <row r="103" spans="1:21" x14ac:dyDescent="0.25">
      <c r="A103" s="3"/>
      <c r="B103" s="118"/>
      <c r="C103" s="715" t="s">
        <v>101</v>
      </c>
      <c r="D103" s="715"/>
      <c r="E103" s="442" t="s">
        <v>442</v>
      </c>
      <c r="F103" s="120" t="s">
        <v>106</v>
      </c>
      <c r="G103" s="121"/>
      <c r="H103" s="121"/>
      <c r="I103" s="121"/>
      <c r="N103" s="762" t="s">
        <v>35</v>
      </c>
      <c r="O103" s="762"/>
      <c r="P103" s="813" t="s">
        <v>444</v>
      </c>
      <c r="Q103" s="764"/>
      <c r="R103" s="760" t="s">
        <v>31</v>
      </c>
      <c r="S103" s="760"/>
      <c r="T103" s="760"/>
      <c r="U103" s="760"/>
    </row>
    <row r="104" spans="1:21" x14ac:dyDescent="0.25">
      <c r="A104" s="26"/>
      <c r="B104" s="52" t="s">
        <v>105</v>
      </c>
      <c r="C104" s="703">
        <f>H14+H15+H20+H23+H26</f>
        <v>0</v>
      </c>
      <c r="D104" s="703"/>
      <c r="E104" s="46">
        <f>H8</f>
        <v>1.0407999999999999</v>
      </c>
      <c r="F104" s="302">
        <f>'1461'!F104</f>
        <v>950.92</v>
      </c>
      <c r="G104" s="39" t="s">
        <v>12</v>
      </c>
      <c r="H104" s="101">
        <f>ROUND(C104*E104*F104,2)</f>
        <v>0</v>
      </c>
      <c r="I104" s="104"/>
      <c r="N104" s="28" t="s">
        <v>17</v>
      </c>
      <c r="O104" s="47">
        <f>T14+T15+T20+T23+T26</f>
        <v>0</v>
      </c>
      <c r="P104" s="761">
        <f>T8</f>
        <v>1.0407999999999999</v>
      </c>
      <c r="Q104" s="761"/>
      <c r="R104" s="48">
        <f>F104</f>
        <v>950.92</v>
      </c>
      <c r="S104" s="40" t="s">
        <v>12</v>
      </c>
      <c r="T104" s="498">
        <f>ROUND(O104*P104*R104,2)</f>
        <v>0</v>
      </c>
      <c r="U104" s="102"/>
    </row>
    <row r="105" spans="1:21" x14ac:dyDescent="0.25">
      <c r="A105" s="49"/>
      <c r="B105" s="49" t="s">
        <v>104</v>
      </c>
      <c r="C105" s="703">
        <f>H16+H17+H21+H24+H27</f>
        <v>0</v>
      </c>
      <c r="D105" s="703"/>
      <c r="E105" s="46">
        <f>H8</f>
        <v>1.0407999999999999</v>
      </c>
      <c r="F105" s="302">
        <f>'1461'!F105</f>
        <v>907.92</v>
      </c>
      <c r="G105" s="39" t="s">
        <v>12</v>
      </c>
      <c r="H105" s="101">
        <f>ROUND(C105*E105*F105,2)</f>
        <v>0</v>
      </c>
      <c r="N105" s="50" t="s">
        <v>13</v>
      </c>
      <c r="O105" s="47">
        <f>T16+T17+T21+T24+T27</f>
        <v>0</v>
      </c>
      <c r="P105" s="761">
        <f>T8</f>
        <v>1.0407999999999999</v>
      </c>
      <c r="Q105" s="761"/>
      <c r="R105" s="48">
        <f>F105</f>
        <v>907.92</v>
      </c>
      <c r="S105" s="40" t="s">
        <v>12</v>
      </c>
      <c r="T105" s="498">
        <f>ROUND(O105*P105*R105,2)</f>
        <v>0</v>
      </c>
      <c r="U105" s="51"/>
    </row>
    <row r="106" spans="1:21" ht="16.5" thickBot="1" x14ac:dyDescent="0.3">
      <c r="A106" s="52"/>
      <c r="B106" s="52" t="s">
        <v>103</v>
      </c>
      <c r="C106" s="703">
        <f>H18+H19+H22+H25+H28+H29</f>
        <v>1115.6062999999999</v>
      </c>
      <c r="D106" s="703"/>
      <c r="E106" s="46">
        <f>H8</f>
        <v>1.0407999999999999</v>
      </c>
      <c r="F106" s="302">
        <f>'1461'!F106</f>
        <v>910.12</v>
      </c>
      <c r="G106" s="39" t="s">
        <v>12</v>
      </c>
      <c r="H106" s="94">
        <f>ROUND(C106*E106*F106,2)</f>
        <v>1056761.3</v>
      </c>
      <c r="N106" s="53" t="s">
        <v>14</v>
      </c>
      <c r="O106" s="54">
        <f>T18+T19+T22+T25+T28+T29</f>
        <v>0</v>
      </c>
      <c r="P106" s="761">
        <f>T8</f>
        <v>1.0407999999999999</v>
      </c>
      <c r="Q106" s="761"/>
      <c r="R106" s="48">
        <f>F106</f>
        <v>910.12</v>
      </c>
      <c r="S106" s="40" t="s">
        <v>12</v>
      </c>
      <c r="T106" s="498">
        <f>ROUND(O106*P106*R106,2)</f>
        <v>0</v>
      </c>
      <c r="U106" s="51"/>
    </row>
    <row r="107" spans="1:21" ht="16.5" thickBot="1" x14ac:dyDescent="0.3">
      <c r="A107" s="55"/>
      <c r="B107" s="122" t="s">
        <v>102</v>
      </c>
      <c r="C107" s="716">
        <f>SUM(C104:C106)</f>
        <v>1115.6062999999999</v>
      </c>
      <c r="D107" s="716"/>
      <c r="E107" s="123"/>
      <c r="F107" s="123"/>
      <c r="G107" s="123"/>
      <c r="H107" s="124" t="s">
        <v>100</v>
      </c>
      <c r="I107" s="101">
        <f>IF(A1=75,0,H106+H105+H104)</f>
        <v>1056761.3</v>
      </c>
      <c r="N107" s="56" t="s">
        <v>89</v>
      </c>
      <c r="O107" s="57">
        <f>SUM(O104:O106)</f>
        <v>0</v>
      </c>
      <c r="P107" s="756" t="s">
        <v>16</v>
      </c>
      <c r="Q107" s="757"/>
      <c r="R107" s="757"/>
      <c r="S107" s="757"/>
      <c r="T107" s="757"/>
      <c r="U107" s="492">
        <f>IF(N1=75,0,T106+T105+T104)</f>
        <v>0</v>
      </c>
    </row>
    <row r="108" spans="1:21" ht="16.5" thickTop="1" x14ac:dyDescent="0.25">
      <c r="A108" s="741" t="s">
        <v>65</v>
      </c>
      <c r="B108" s="741"/>
      <c r="C108" s="741"/>
      <c r="D108" s="741"/>
      <c r="E108" s="741"/>
      <c r="F108" s="741"/>
      <c r="G108" s="741"/>
      <c r="H108" s="741"/>
      <c r="I108" s="741"/>
      <c r="N108" s="758" t="s">
        <v>65</v>
      </c>
      <c r="O108" s="758"/>
      <c r="P108" s="758"/>
      <c r="Q108" s="758"/>
      <c r="R108" s="758"/>
      <c r="S108" s="758"/>
      <c r="T108" s="758"/>
      <c r="U108" s="758"/>
    </row>
    <row r="109" spans="1:21" x14ac:dyDescent="0.25">
      <c r="A109" s="451"/>
      <c r="B109" s="451"/>
      <c r="C109" s="451"/>
      <c r="D109" s="451"/>
      <c r="E109" s="451"/>
      <c r="F109" s="451"/>
      <c r="G109" s="451"/>
      <c r="H109" s="451"/>
      <c r="I109" s="451"/>
      <c r="N109" s="452"/>
      <c r="O109" s="452"/>
      <c r="P109" s="452"/>
      <c r="Q109" s="452"/>
      <c r="R109" s="452"/>
      <c r="S109" s="452"/>
      <c r="T109" s="452"/>
      <c r="U109" s="452"/>
    </row>
    <row r="110" spans="1:21" x14ac:dyDescent="0.25">
      <c r="A110" s="548" t="s">
        <v>515</v>
      </c>
      <c r="C110" s="8"/>
      <c r="D110" s="8"/>
      <c r="E110" s="43" t="s">
        <v>32</v>
      </c>
      <c r="F110" s="742"/>
      <c r="G110" s="742"/>
      <c r="H110" s="742"/>
      <c r="I110" s="742"/>
      <c r="N110" s="746" t="s">
        <v>515</v>
      </c>
      <c r="O110" s="747"/>
      <c r="P110" s="747"/>
      <c r="Q110" s="759"/>
      <c r="R110" s="759"/>
      <c r="S110" s="759"/>
      <c r="T110" s="759"/>
      <c r="U110" s="103"/>
    </row>
    <row r="111" spans="1:21" x14ac:dyDescent="0.25">
      <c r="B111" s="69"/>
      <c r="C111" s="88" t="s">
        <v>510</v>
      </c>
      <c r="D111" s="349" t="s">
        <v>511</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17" t="s">
        <v>399</v>
      </c>
      <c r="B113" s="738"/>
      <c r="C113" s="143">
        <v>710</v>
      </c>
      <c r="D113" s="143">
        <v>686</v>
      </c>
      <c r="E113" s="116">
        <f>(C113+D113)/2</f>
        <v>698</v>
      </c>
      <c r="F113" s="126" t="s">
        <v>30</v>
      </c>
      <c r="G113" s="303">
        <f>'1461'!G113</f>
        <v>567</v>
      </c>
      <c r="I113" s="101">
        <f>ROUND(G113*E113,2)</f>
        <v>395766</v>
      </c>
      <c r="N113" s="755" t="s">
        <v>52</v>
      </c>
      <c r="O113" s="755"/>
      <c r="P113" s="754">
        <f>IF(H133=1,E113,0)</f>
        <v>0</v>
      </c>
      <c r="Q113" s="754"/>
      <c r="R113" s="754"/>
      <c r="S113" s="83" t="s">
        <v>30</v>
      </c>
      <c r="T113" s="58">
        <f>G113</f>
        <v>567</v>
      </c>
      <c r="U113" s="492">
        <f>ROUND(T113*P113,2)</f>
        <v>0</v>
      </c>
    </row>
    <row r="114" spans="1:21" x14ac:dyDescent="0.25">
      <c r="A114" s="717" t="s">
        <v>400</v>
      </c>
      <c r="B114" s="738"/>
      <c r="C114" s="143">
        <v>0</v>
      </c>
      <c r="D114" s="143">
        <v>0</v>
      </c>
      <c r="E114" s="116">
        <f>(C114+D114)/2</f>
        <v>0</v>
      </c>
      <c r="F114" s="126" t="s">
        <v>30</v>
      </c>
      <c r="G114" s="303">
        <f>'1461'!G114</f>
        <v>1821</v>
      </c>
      <c r="I114" s="101">
        <f>ROUND(G114*E114,2)</f>
        <v>0</v>
      </c>
      <c r="N114" s="755" t="s">
        <v>64</v>
      </c>
      <c r="O114" s="755"/>
      <c r="P114" s="749"/>
      <c r="Q114" s="749"/>
      <c r="R114" s="749"/>
      <c r="S114" s="83" t="s">
        <v>30</v>
      </c>
      <c r="T114" s="58">
        <f>G114</f>
        <v>1821</v>
      </c>
      <c r="U114" s="492">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04" t="s">
        <v>446</v>
      </c>
      <c r="B117" s="705"/>
      <c r="C117" s="705"/>
      <c r="D117" s="69"/>
      <c r="E117" s="39" t="s">
        <v>317</v>
      </c>
      <c r="F117" s="714"/>
      <c r="G117" s="714"/>
      <c r="H117" s="714"/>
      <c r="I117" s="714"/>
      <c r="N117" s="746" t="s">
        <v>447</v>
      </c>
      <c r="O117" s="747"/>
      <c r="P117" s="747"/>
      <c r="Q117" s="747"/>
      <c r="R117" s="747"/>
      <c r="S117" s="747"/>
      <c r="T117" s="747"/>
      <c r="U117" s="747"/>
    </row>
    <row r="118" spans="1:21" hidden="1" x14ac:dyDescent="0.25">
      <c r="B118" s="69"/>
      <c r="C118" s="715" t="s">
        <v>66</v>
      </c>
      <c r="D118" s="715"/>
      <c r="E118" s="715"/>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18" t="s">
        <v>109</v>
      </c>
      <c r="G119" s="714"/>
      <c r="H119" s="37" t="s">
        <v>29</v>
      </c>
      <c r="I119" s="37"/>
      <c r="N119" s="45"/>
      <c r="O119" s="45"/>
      <c r="P119" s="45"/>
      <c r="Q119" s="45"/>
      <c r="R119" s="45"/>
      <c r="S119" s="45"/>
      <c r="T119" s="45"/>
      <c r="U119" s="45"/>
    </row>
    <row r="120" spans="1:21" hidden="1" x14ac:dyDescent="0.25">
      <c r="A120" s="715" t="s">
        <v>69</v>
      </c>
      <c r="B120" s="715"/>
      <c r="C120" s="90" t="s">
        <v>2</v>
      </c>
      <c r="D120" s="90" t="s">
        <v>2</v>
      </c>
      <c r="E120" s="59" t="s">
        <v>2</v>
      </c>
      <c r="F120" s="715" t="s">
        <v>28</v>
      </c>
      <c r="G120" s="715"/>
      <c r="H120" s="59" t="s">
        <v>28</v>
      </c>
      <c r="I120" s="59" t="s">
        <v>8</v>
      </c>
      <c r="N120" s="750" t="s">
        <v>53</v>
      </c>
      <c r="O120" s="750"/>
      <c r="P120" s="754" t="s">
        <v>66</v>
      </c>
      <c r="Q120" s="754"/>
      <c r="R120" s="750" t="s">
        <v>54</v>
      </c>
      <c r="S120" s="750"/>
      <c r="T120" s="60" t="s">
        <v>55</v>
      </c>
      <c r="U120" s="60" t="s">
        <v>8</v>
      </c>
    </row>
    <row r="121" spans="1:21" hidden="1" x14ac:dyDescent="0.25">
      <c r="A121" s="739" t="s">
        <v>56</v>
      </c>
      <c r="B121" s="739"/>
      <c r="C121" s="141">
        <v>0</v>
      </c>
      <c r="D121" s="141">
        <v>0</v>
      </c>
      <c r="E121" s="187">
        <f>IF(D30=0,C121*2,C121+D121)</f>
        <v>0</v>
      </c>
      <c r="F121" s="740">
        <v>0</v>
      </c>
      <c r="G121" s="740"/>
      <c r="H121" s="223">
        <f>IF(C121=0,0,125)</f>
        <v>0</v>
      </c>
      <c r="I121" s="101">
        <f>ROUND((H121+F121)*E121,2)</f>
        <v>0</v>
      </c>
      <c r="N121" s="747" t="s">
        <v>56</v>
      </c>
      <c r="O121" s="747"/>
      <c r="P121" s="749">
        <f>IF(H$133=1,C121,0)</f>
        <v>0</v>
      </c>
      <c r="Q121" s="749"/>
      <c r="R121" s="752">
        <f>F121</f>
        <v>0</v>
      </c>
      <c r="S121" s="752"/>
      <c r="T121" s="62">
        <f>H121</f>
        <v>0</v>
      </c>
      <c r="U121" s="96">
        <f>ROUND((T121+R121)*P121,0)</f>
        <v>0</v>
      </c>
    </row>
    <row r="122" spans="1:21" hidden="1" x14ac:dyDescent="0.25">
      <c r="A122" s="709" t="s">
        <v>57</v>
      </c>
      <c r="B122" s="709"/>
      <c r="C122" s="143">
        <v>0</v>
      </c>
      <c r="D122" s="143">
        <v>0</v>
      </c>
      <c r="E122" s="116">
        <f>IF(D31=0,C122*2,C122+D122)</f>
        <v>0</v>
      </c>
      <c r="F122" s="710">
        <f>ROUND(F121/2,2)</f>
        <v>0</v>
      </c>
      <c r="G122" s="710"/>
      <c r="H122" s="223">
        <f>IF(C122=0,0,62.5)</f>
        <v>0</v>
      </c>
      <c r="I122" s="101">
        <f>ROUND((H122+F122)*E122,2)</f>
        <v>0</v>
      </c>
      <c r="N122" s="747" t="s">
        <v>57</v>
      </c>
      <c r="O122" s="747"/>
      <c r="P122" s="749">
        <f>IF(H$133=1,C122,0)</f>
        <v>0</v>
      </c>
      <c r="Q122" s="749"/>
      <c r="R122" s="753">
        <f>ROUND(R121/2,2)</f>
        <v>0</v>
      </c>
      <c r="S122" s="753"/>
      <c r="T122" s="62">
        <f>H122</f>
        <v>0</v>
      </c>
      <c r="U122" s="96">
        <f>ROUND((T122+R122)*P122,0)</f>
        <v>0</v>
      </c>
    </row>
    <row r="123" spans="1:21" ht="16.5" hidden="1" thickBot="1" x14ac:dyDescent="0.3">
      <c r="A123" s="709" t="s">
        <v>58</v>
      </c>
      <c r="B123" s="709"/>
      <c r="C123" s="143">
        <v>0</v>
      </c>
      <c r="D123" s="143">
        <v>0</v>
      </c>
      <c r="E123" s="116">
        <f>IF(D32=0,C123*2,C123+D123)</f>
        <v>0</v>
      </c>
      <c r="F123" s="711"/>
      <c r="G123" s="711"/>
      <c r="H123" s="224">
        <f>IF(H121&gt;0,436,0)</f>
        <v>0</v>
      </c>
      <c r="I123" s="101">
        <f>ROUND(H123*E123,2)</f>
        <v>0</v>
      </c>
      <c r="N123" s="748" t="s">
        <v>58</v>
      </c>
      <c r="O123" s="748"/>
      <c r="P123" s="749">
        <f>IF(H$133=1,C123,0)</f>
        <v>0</v>
      </c>
      <c r="Q123" s="749"/>
      <c r="R123" s="750"/>
      <c r="S123" s="750"/>
      <c r="T123" s="64">
        <f>H123</f>
        <v>0</v>
      </c>
      <c r="U123" s="103">
        <f>ROUND(T123*P123,0)</f>
        <v>0</v>
      </c>
    </row>
    <row r="124" spans="1:21" ht="16.5" hidden="1" thickBot="1" x14ac:dyDescent="0.3">
      <c r="A124" s="714" t="s">
        <v>8</v>
      </c>
      <c r="B124" s="714"/>
      <c r="C124" s="65"/>
      <c r="D124" s="65"/>
      <c r="E124" s="65"/>
      <c r="F124" s="65"/>
      <c r="G124" s="65"/>
      <c r="H124" s="65"/>
      <c r="I124" s="97">
        <f>SUM(I121:I123)</f>
        <v>0</v>
      </c>
      <c r="N124" s="751" t="s">
        <v>8</v>
      </c>
      <c r="O124" s="751"/>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04" t="s">
        <v>448</v>
      </c>
      <c r="B126" s="705"/>
      <c r="C126" s="705"/>
      <c r="D126" s="69"/>
      <c r="E126" s="68" t="s">
        <v>34</v>
      </c>
      <c r="F126" s="707"/>
      <c r="G126" s="707"/>
      <c r="H126" s="707"/>
      <c r="I126" s="154">
        <v>0</v>
      </c>
      <c r="N126" s="746" t="s">
        <v>448</v>
      </c>
      <c r="O126" s="747"/>
      <c r="P126" s="747"/>
      <c r="Q126" s="305"/>
      <c r="R126" s="305"/>
      <c r="S126" s="305"/>
      <c r="T126" s="305"/>
      <c r="U126" s="492">
        <f>IF($H$133=1,I126,0)</f>
        <v>0</v>
      </c>
    </row>
    <row r="127" spans="1:21" x14ac:dyDescent="0.25">
      <c r="B127" s="69"/>
      <c r="C127" s="69"/>
      <c r="D127" s="69"/>
      <c r="E127" s="68"/>
      <c r="F127" s="68"/>
      <c r="G127" s="68"/>
      <c r="H127" s="68"/>
      <c r="I127" s="116"/>
      <c r="N127" s="472"/>
      <c r="O127" s="471"/>
      <c r="P127" s="471"/>
      <c r="Q127" s="305"/>
      <c r="R127" s="305"/>
      <c r="S127" s="305"/>
      <c r="T127" s="305"/>
      <c r="U127" s="496"/>
    </row>
    <row r="128" spans="1:21" ht="16.5" thickBot="1" x14ac:dyDescent="0.3">
      <c r="A128" s="708" t="s">
        <v>8</v>
      </c>
      <c r="B128" s="708"/>
      <c r="C128" s="708"/>
      <c r="D128" s="708"/>
      <c r="E128" s="708"/>
      <c r="F128" s="708"/>
      <c r="G128" s="708"/>
      <c r="H128" s="708"/>
      <c r="I128" s="94">
        <f>SUM(I46,I66,I85,I88,I90,I92,I94,I96,I107,I113,I114,I124,I126)</f>
        <v>9540250.5700000003</v>
      </c>
      <c r="N128" s="472"/>
      <c r="O128" s="471"/>
      <c r="P128" s="471"/>
      <c r="Q128" s="305"/>
      <c r="R128" s="305"/>
      <c r="S128" s="305"/>
      <c r="T128" s="305"/>
      <c r="U128" s="499">
        <f>SUM(U30,U85,U88,U90,U92,U94,U96,U107,U113,U114,U124,U126)</f>
        <v>0</v>
      </c>
    </row>
    <row r="129" spans="1:21" ht="16.5" thickTop="1" x14ac:dyDescent="0.25">
      <c r="A129" s="26"/>
      <c r="B129" s="26"/>
      <c r="C129" s="26"/>
      <c r="D129" s="26"/>
      <c r="E129" s="26"/>
      <c r="F129" s="26"/>
      <c r="G129" s="26"/>
      <c r="H129" s="26"/>
      <c r="I129" s="101"/>
      <c r="N129" s="472"/>
      <c r="O129" s="471"/>
      <c r="P129" s="471"/>
      <c r="Q129" s="305"/>
      <c r="R129" s="305"/>
      <c r="S129" s="305"/>
      <c r="T129" s="305"/>
      <c r="U129" s="103"/>
    </row>
    <row r="130" spans="1:21" ht="16.5" thickBot="1" x14ac:dyDescent="0.3">
      <c r="A130" s="81" t="s">
        <v>450</v>
      </c>
      <c r="B130" s="26"/>
      <c r="C130" s="26"/>
      <c r="D130" s="26"/>
      <c r="E130" s="26"/>
      <c r="F130" s="26"/>
      <c r="G130" s="26"/>
      <c r="H130" s="26"/>
      <c r="I130" s="101">
        <f>I128-I53</f>
        <v>9151595.8200000003</v>
      </c>
      <c r="N130" s="776" t="s">
        <v>33</v>
      </c>
      <c r="O130" s="776"/>
      <c r="P130" s="776"/>
      <c r="Q130" s="776"/>
      <c r="R130" s="776"/>
      <c r="S130" s="776"/>
      <c r="T130" s="776"/>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04" t="s">
        <v>451</v>
      </c>
      <c r="B132" s="705"/>
      <c r="C132" s="705"/>
      <c r="D132" s="705"/>
      <c r="E132" s="705"/>
      <c r="F132" s="705"/>
      <c r="G132" s="705"/>
      <c r="H132" s="81" t="s">
        <v>351</v>
      </c>
      <c r="I132" s="134"/>
      <c r="N132" s="28"/>
      <c r="O132" s="28"/>
      <c r="P132" s="28"/>
      <c r="Q132" s="28"/>
      <c r="R132" s="28"/>
      <c r="S132" s="28"/>
      <c r="T132" s="28"/>
      <c r="U132" s="138"/>
    </row>
    <row r="133" spans="1:21" x14ac:dyDescent="0.25">
      <c r="A133" s="705" t="s">
        <v>70</v>
      </c>
      <c r="B133" s="705"/>
      <c r="C133" s="705"/>
      <c r="D133" s="705"/>
      <c r="E133" s="705"/>
      <c r="F133" s="705"/>
      <c r="G133" s="705"/>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9151595.8200000003</v>
      </c>
      <c r="I135" s="94">
        <f>ROUND(IF(E30=0,0,IF(E30&gt;250,-(((250/E30)*H135)*IF(G135="H",0.02,0.05)),IF(G135="H",-0.02*H135,-0.05*H135))),2)</f>
        <v>-41051.800000000003</v>
      </c>
      <c r="N135" s="743"/>
      <c r="O135" s="743"/>
      <c r="P135" s="743"/>
      <c r="Q135" s="743"/>
      <c r="R135" s="743"/>
      <c r="S135" s="743"/>
      <c r="T135" s="743"/>
      <c r="U135" s="743"/>
    </row>
    <row r="136" spans="1:21" x14ac:dyDescent="0.25">
      <c r="B136" s="69"/>
      <c r="C136" s="69"/>
      <c r="D136" s="69"/>
      <c r="E136" s="69"/>
      <c r="F136" s="69"/>
      <c r="G136" s="69"/>
      <c r="H136" s="65"/>
      <c r="I136" s="101"/>
      <c r="N136" s="744" t="s">
        <v>7</v>
      </c>
      <c r="O136" s="744"/>
      <c r="P136" s="744"/>
      <c r="Q136" s="744"/>
      <c r="R136" s="744"/>
      <c r="S136" s="744"/>
      <c r="T136" s="744"/>
      <c r="U136" s="744"/>
    </row>
    <row r="137" spans="1:21" x14ac:dyDescent="0.25">
      <c r="A137" s="308" t="s">
        <v>74</v>
      </c>
      <c r="B137" s="309"/>
      <c r="C137" s="309"/>
      <c r="D137" s="309"/>
      <c r="E137" s="309"/>
      <c r="F137" s="309"/>
      <c r="G137" s="309"/>
      <c r="H137" s="310"/>
      <c r="I137" s="311">
        <f>I128+I135</f>
        <v>9499198.7699999996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-3729510.09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5769688.6799999997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7</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824241.24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141980.1164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390</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391</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392</v>
      </c>
      <c r="B155" s="360"/>
      <c r="C155" s="360"/>
      <c r="D155" s="360"/>
      <c r="E155" s="360"/>
      <c r="F155" s="360"/>
      <c r="G155" s="360"/>
      <c r="H155" s="360"/>
      <c r="I155" s="360"/>
      <c r="N155" s="745"/>
      <c r="O155" s="745"/>
      <c r="P155" s="745"/>
      <c r="Q155" s="745"/>
      <c r="R155" s="745"/>
      <c r="S155" s="745"/>
      <c r="T155" s="745"/>
      <c r="U155" s="745"/>
    </row>
    <row r="156" spans="1:21" s="76" customFormat="1" x14ac:dyDescent="0.2">
      <c r="A156" s="358" t="s">
        <v>393</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394</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395</v>
      </c>
      <c r="B158" s="360"/>
      <c r="C158" s="360"/>
      <c r="D158" s="360"/>
      <c r="E158" s="360"/>
      <c r="F158" s="360"/>
      <c r="G158" s="360"/>
      <c r="H158" s="360"/>
      <c r="I158" s="360"/>
      <c r="N158" s="78"/>
    </row>
    <row r="159" spans="1:21" s="76" customFormat="1" x14ac:dyDescent="0.2">
      <c r="A159" s="358" t="s">
        <v>397</v>
      </c>
      <c r="B159" s="360"/>
      <c r="C159" s="360"/>
      <c r="D159" s="360"/>
      <c r="E159" s="360"/>
      <c r="F159" s="360"/>
      <c r="G159" s="360"/>
      <c r="H159" s="360"/>
      <c r="I159" s="360"/>
      <c r="N159" s="78"/>
    </row>
    <row r="160" spans="1:21" s="76" customFormat="1" x14ac:dyDescent="0.2">
      <c r="A160" s="364" t="s">
        <v>396</v>
      </c>
      <c r="B160" s="360"/>
      <c r="C160" s="360"/>
      <c r="D160" s="360"/>
      <c r="E160" s="360"/>
      <c r="F160" s="360"/>
      <c r="G160" s="360"/>
      <c r="H160" s="360"/>
      <c r="I160" s="360"/>
      <c r="N160" s="78"/>
    </row>
    <row r="161" spans="1:14" s="76" customFormat="1" x14ac:dyDescent="0.2">
      <c r="A161" s="358" t="s">
        <v>398</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401</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403</v>
      </c>
      <c r="B165" s="360"/>
      <c r="C165" s="360"/>
      <c r="D165" s="360"/>
      <c r="E165" s="360"/>
      <c r="F165" s="360"/>
      <c r="G165" s="360"/>
      <c r="H165" s="360"/>
      <c r="I165" s="360"/>
      <c r="N165" s="78"/>
    </row>
    <row r="166" spans="1:14" s="76" customFormat="1" ht="15.75" customHeight="1" x14ac:dyDescent="0.2">
      <c r="A166" s="364" t="s">
        <v>402</v>
      </c>
      <c r="B166" s="360"/>
      <c r="C166" s="360"/>
      <c r="D166" s="360"/>
      <c r="E166" s="360"/>
      <c r="F166" s="360"/>
      <c r="G166" s="360"/>
      <c r="H166" s="360"/>
      <c r="I166" s="360"/>
      <c r="N166" s="78"/>
    </row>
    <row r="167" spans="1:14" s="76" customFormat="1" ht="15.75" customHeight="1" x14ac:dyDescent="0.2">
      <c r="A167" s="358" t="s">
        <v>404</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406</v>
      </c>
      <c r="B169" s="360"/>
      <c r="C169" s="360"/>
      <c r="D169" s="360"/>
      <c r="E169" s="360"/>
      <c r="F169" s="360"/>
      <c r="G169" s="360"/>
      <c r="H169" s="360"/>
      <c r="I169" s="360"/>
      <c r="N169" s="78"/>
    </row>
    <row r="170" spans="1:14" s="76" customFormat="1" ht="15.75" customHeight="1" x14ac:dyDescent="0.2">
      <c r="A170" s="364" t="s">
        <v>405</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407</v>
      </c>
      <c r="B175" s="370"/>
      <c r="C175" s="370"/>
      <c r="D175" s="370"/>
      <c r="E175" s="370"/>
      <c r="F175" s="370"/>
      <c r="G175" s="370"/>
      <c r="H175" s="370"/>
      <c r="I175" s="370"/>
      <c r="J175" s="3"/>
      <c r="K175" s="3"/>
      <c r="L175" s="3"/>
      <c r="M175" s="3"/>
      <c r="N175" s="78"/>
    </row>
    <row r="176" spans="1:14" s="76" customFormat="1" ht="15.75" customHeight="1" x14ac:dyDescent="0.2">
      <c r="A176" s="376" t="s">
        <v>408</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Annual Rev &amp; Fees</vt:lpstr>
      <vt:lpstr>Net Payment</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2024-08-07T18:20:57Z</cp:lastPrinted>
  <dcterms:created xsi:type="dcterms:W3CDTF">1998-02-12T20:21:54Z</dcterms:created>
  <dcterms:modified xsi:type="dcterms:W3CDTF">2024-12-09T21:40:34Z</dcterms:modified>
</cp:coreProperties>
</file>